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codeName="ThisWorkbook" defaultThemeVersion="166925"/>
  <bookViews>
    <workbookView xWindow="65428" yWindow="65428" windowWidth="23256" windowHeight="12576" firstSheet="2" activeTab="2"/>
  </bookViews>
  <sheets>
    <sheet name="Eredeti" sheetId="1" state="hidden" r:id="rId1"/>
    <sheet name="Céges verzió" sheetId="7" state="hidden" r:id="rId2"/>
    <sheet name="Kalkulátor ABT" sheetId="8" r:id="rId3"/>
    <sheet name="Háttértábla" sheetId="2" state="hidden" r:id="rId4"/>
  </sheets>
  <definedNames>
    <definedName name="solver_adj" localSheetId="1" hidden="1">'Céges verzió'!$D$9</definedName>
    <definedName name="solver_adj" localSheetId="0" hidden="1">'Eredeti'!$D$8</definedName>
    <definedName name="solver_adj" localSheetId="2" hidden="1">#REF!</definedName>
    <definedName name="solver_cvg" localSheetId="1" hidden="1">0.0001</definedName>
    <definedName name="solver_cvg" localSheetId="0" hidden="1">0.0001</definedName>
    <definedName name="solver_cvg" localSheetId="2" hidden="1">0.0001</definedName>
    <definedName name="solver_drv" localSheetId="1" hidden="1">1</definedName>
    <definedName name="solver_drv" localSheetId="0" hidden="1">1</definedName>
    <definedName name="solver_drv" localSheetId="2" hidden="1">1</definedName>
    <definedName name="solver_eng" localSheetId="1" hidden="1">1</definedName>
    <definedName name="solver_eng" localSheetId="0" hidden="1">1</definedName>
    <definedName name="solver_eng" localSheetId="2" hidden="1">1</definedName>
    <definedName name="solver_est" localSheetId="1" hidden="1">1</definedName>
    <definedName name="solver_est" localSheetId="0" hidden="1">1</definedName>
    <definedName name="solver_est" localSheetId="2" hidden="1">1</definedName>
    <definedName name="solver_itr" localSheetId="1" hidden="1">2147483647</definedName>
    <definedName name="solver_itr" localSheetId="0" hidden="1">2147483647</definedName>
    <definedName name="solver_itr" localSheetId="2" hidden="1">2147483647</definedName>
    <definedName name="solver_mip" localSheetId="1" hidden="1">2147483647</definedName>
    <definedName name="solver_mip" localSheetId="0" hidden="1">2147483647</definedName>
    <definedName name="solver_mip" localSheetId="2" hidden="1">2147483647</definedName>
    <definedName name="solver_mni" localSheetId="1" hidden="1">30</definedName>
    <definedName name="solver_mni" localSheetId="0" hidden="1">30</definedName>
    <definedName name="solver_mni" localSheetId="2" hidden="1">30</definedName>
    <definedName name="solver_mrt" localSheetId="1" hidden="1">0.075</definedName>
    <definedName name="solver_mrt" localSheetId="0" hidden="1">0.075</definedName>
    <definedName name="solver_mrt" localSheetId="2" hidden="1">0.075</definedName>
    <definedName name="solver_msl" localSheetId="1" hidden="1">2</definedName>
    <definedName name="solver_msl" localSheetId="0" hidden="1">2</definedName>
    <definedName name="solver_msl" localSheetId="2" hidden="1">2</definedName>
    <definedName name="solver_neg" localSheetId="1" hidden="1">1</definedName>
    <definedName name="solver_neg" localSheetId="0" hidden="1">1</definedName>
    <definedName name="solver_neg" localSheetId="2" hidden="1">1</definedName>
    <definedName name="solver_nod" localSheetId="1" hidden="1">2147483647</definedName>
    <definedName name="solver_nod" localSheetId="0" hidden="1">2147483647</definedName>
    <definedName name="solver_nod" localSheetId="2" hidden="1">2147483647</definedName>
    <definedName name="solver_num" localSheetId="1" hidden="1">0</definedName>
    <definedName name="solver_num" localSheetId="0" hidden="1">0</definedName>
    <definedName name="solver_num" localSheetId="2" hidden="1">0</definedName>
    <definedName name="solver_nwt" localSheetId="1" hidden="1">1</definedName>
    <definedName name="solver_nwt" localSheetId="0" hidden="1">1</definedName>
    <definedName name="solver_nwt" localSheetId="2" hidden="1">1</definedName>
    <definedName name="solver_opt" localSheetId="1" hidden="1">'Céges verzió'!$C$30</definedName>
    <definedName name="solver_opt" localSheetId="0" hidden="1">'Eredeti'!$C$30</definedName>
    <definedName name="solver_opt" localSheetId="2" hidden="1">'Kalkulátor ABT'!$M$35</definedName>
    <definedName name="solver_pre" localSheetId="1" hidden="1">0.000001</definedName>
    <definedName name="solver_pre" localSheetId="0" hidden="1">0.000001</definedName>
    <definedName name="solver_pre" localSheetId="2" hidden="1">0.000001</definedName>
    <definedName name="solver_rbv" localSheetId="1" hidden="1">1</definedName>
    <definedName name="solver_rbv" localSheetId="0" hidden="1">1</definedName>
    <definedName name="solver_rbv" localSheetId="2" hidden="1">1</definedName>
    <definedName name="solver_rlx" localSheetId="1" hidden="1">2</definedName>
    <definedName name="solver_rlx" localSheetId="0" hidden="1">2</definedName>
    <definedName name="solver_rlx" localSheetId="2" hidden="1">2</definedName>
    <definedName name="solver_rsd" localSheetId="1" hidden="1">0</definedName>
    <definedName name="solver_rsd" localSheetId="0" hidden="1">0</definedName>
    <definedName name="solver_rsd" localSheetId="2" hidden="1">0</definedName>
    <definedName name="solver_scl" localSheetId="1" hidden="1">1</definedName>
    <definedName name="solver_scl" localSheetId="0" hidden="1">1</definedName>
    <definedName name="solver_scl" localSheetId="2" hidden="1">1</definedName>
    <definedName name="solver_sho" localSheetId="1" hidden="1">2</definedName>
    <definedName name="solver_sho" localSheetId="0" hidden="1">2</definedName>
    <definedName name="solver_sho" localSheetId="2" hidden="1">2</definedName>
    <definedName name="solver_ssz" localSheetId="1" hidden="1">100</definedName>
    <definedName name="solver_ssz" localSheetId="0" hidden="1">100</definedName>
    <definedName name="solver_ssz" localSheetId="2" hidden="1">100</definedName>
    <definedName name="solver_tim" localSheetId="1" hidden="1">2147483647</definedName>
    <definedName name="solver_tim" localSheetId="0" hidden="1">2147483647</definedName>
    <definedName name="solver_tim" localSheetId="2" hidden="1">2147483647</definedName>
    <definedName name="solver_tol" localSheetId="1" hidden="1">0.01</definedName>
    <definedName name="solver_tol" localSheetId="0" hidden="1">0.01</definedName>
    <definedName name="solver_tol" localSheetId="2" hidden="1">0.01</definedName>
    <definedName name="solver_typ" localSheetId="1" hidden="1">2</definedName>
    <definedName name="solver_typ" localSheetId="0" hidden="1">2</definedName>
    <definedName name="solver_typ" localSheetId="2" hidden="1">2</definedName>
    <definedName name="solver_val" localSheetId="1" hidden="1">0</definedName>
    <definedName name="solver_val" localSheetId="0" hidden="1">0</definedName>
    <definedName name="solver_val" localSheetId="2" hidden="1">0</definedName>
    <definedName name="solver_ver" localSheetId="1" hidden="1">3</definedName>
    <definedName name="solver_ver" localSheetId="0" hidden="1">3</definedName>
    <definedName name="solver_ver" localSheetId="2" hidden="1">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<sst xmlns="http://schemas.openxmlformats.org/spreadsheetml/2006/main" count="147" uniqueCount="81">
  <si>
    <t>Anya</t>
  </si>
  <si>
    <t>Apa</t>
  </si>
  <si>
    <t>2021 éves bruttó bér</t>
  </si>
  <si>
    <t>Eltartottak száma</t>
  </si>
  <si>
    <t>Kedvezményezett eltartottak száma</t>
  </si>
  <si>
    <t>Eltartottak</t>
  </si>
  <si>
    <t>Kedvezményezett eltartottak</t>
  </si>
  <si>
    <t>Adóalap kedvezmény</t>
  </si>
  <si>
    <t>Adókedvezmény</t>
  </si>
  <si>
    <t>Első házasok kedvezményére jogosult hónapok száma 2021-ben</t>
  </si>
  <si>
    <t>Első házasok kedvezménye</t>
  </si>
  <si>
    <t>Adóalap kedvezmények nélkül</t>
  </si>
  <si>
    <t>Első házasok adóalap kedvezmény összege</t>
  </si>
  <si>
    <t>Adóalap családi kedvezmény után</t>
  </si>
  <si>
    <t>Igénybe vett személyi kedvezmény</t>
  </si>
  <si>
    <t>Adóalap személyi kedv. után</t>
  </si>
  <si>
    <t>Anya által igénybe vett személyi kedv (=max 55.800)</t>
  </si>
  <si>
    <t>Apa által igénybe vett személyi kedv (=max 55.800)</t>
  </si>
  <si>
    <t>Hónapok száma</t>
  </si>
  <si>
    <t>Igen</t>
  </si>
  <si>
    <t>Nem</t>
  </si>
  <si>
    <t>Családi keretösszeg meghatározása</t>
  </si>
  <si>
    <t>Családi kedv. Eltartottanként</t>
  </si>
  <si>
    <t>TBJ adóalap</t>
  </si>
  <si>
    <t>SZJA visszatérítés összege</t>
  </si>
  <si>
    <t>Max 12*449.4000*0,15%</t>
  </si>
  <si>
    <t>Közösen érvényesíthető kedvezmények</t>
  </si>
  <si>
    <t>Első házasok kedvezményének összege éves</t>
  </si>
  <si>
    <t>#</t>
  </si>
  <si>
    <t>Anya arány</t>
  </si>
  <si>
    <t>Adóalap első házasok kedv. Után</t>
  </si>
  <si>
    <t>Éves családi kedvezmény keretösszeg meghatározása</t>
  </si>
  <si>
    <t>Fel nem használt családi adókedvezmény alap</t>
  </si>
  <si>
    <t>Igénybe vehető családi adóalapkedvezmény</t>
  </si>
  <si>
    <t xml:space="preserve">Igénybe vehető családi JK alap </t>
  </si>
  <si>
    <t>Igénybe vett adókedvezmény</t>
  </si>
  <si>
    <t>Fizetendő SZJA</t>
  </si>
  <si>
    <t>Adó családi kedvezmény nélkül</t>
  </si>
  <si>
    <t>Fizetendő járulék kedvezmény nélkül</t>
  </si>
  <si>
    <t>CSJK alap kedvezmény után</t>
  </si>
  <si>
    <t>Fizetendő járulék kedvezmény után</t>
  </si>
  <si>
    <t>Cél TBJ =0</t>
  </si>
  <si>
    <t>Családi kedvezmény jogosultság hónapok száma</t>
  </si>
  <si>
    <t>Cél SZJA=0 SZJA VISSZATÉRÍTÉS UTÁN</t>
  </si>
  <si>
    <t>Családi adókedvezmény elméleti összege</t>
  </si>
  <si>
    <t>Célérték C=29 MINIMUM</t>
  </si>
  <si>
    <t>CSJK kedvezmény elméleti maximum</t>
  </si>
  <si>
    <t>CSJK kedvezmény tényleges érték</t>
  </si>
  <si>
    <t>CSJK alapkedvezmény igénybevehető maximuma</t>
  </si>
  <si>
    <t>Pénztári befizetés</t>
  </si>
  <si>
    <t>Fizetendő TB járulék CSJ kedvezmény után</t>
  </si>
  <si>
    <t>FIZETENDŐ SZJA -  SZJA VISSZATÉRÍTÉS UTÁN</t>
  </si>
  <si>
    <t>Célérték: C31 = MINIMUM</t>
  </si>
  <si>
    <t>Ténylegesen "felhasznált" SZJA visszatérítés</t>
  </si>
  <si>
    <t>Adóalap első házasok kedv. után</t>
  </si>
  <si>
    <t>FIZETENDŐ TBJ</t>
  </si>
  <si>
    <t>Módosítandó cellák</t>
  </si>
  <si>
    <r>
      <rPr>
        <b/>
        <u val="single"/>
        <sz val="11"/>
        <color theme="1"/>
        <rFont val="Calibri"/>
        <family val="2"/>
        <scheme val="minor"/>
      </rPr>
      <t>A házaspár által közösen fizetendő SZJA és TBJ összege</t>
    </r>
    <r>
      <rPr>
        <sz val="11"/>
        <color theme="1"/>
        <rFont val="Calibri"/>
        <family val="2"/>
        <scheme val="minor"/>
      </rPr>
      <t xml:space="preserve"> - </t>
    </r>
    <r>
      <rPr>
        <sz val="11"/>
        <color rgb="FFFF0000"/>
        <rFont val="Calibri"/>
        <family val="2"/>
        <scheme val="minor"/>
      </rPr>
      <t>Minél kisebb a cella értéke, annál magasabb a közösen igénybe vett kedvezmények értéke.</t>
    </r>
  </si>
  <si>
    <t>A kedvezmény megosztásának aránya (100% = anya, 0%=apa)</t>
  </si>
  <si>
    <r>
      <rPr>
        <b/>
        <sz val="11"/>
        <color theme="1"/>
        <rFont val="Calibri"/>
        <family val="2"/>
        <scheme val="minor"/>
      </rPr>
      <t xml:space="preserve">SZJA VISSZATÉRÍTÉS </t>
    </r>
    <r>
      <rPr>
        <sz val="11"/>
        <color theme="1"/>
        <rFont val="Calibri"/>
        <family val="2"/>
        <scheme val="minor"/>
      </rPr>
      <t>MAXIMUMA = 12*449.4000*0,15%</t>
    </r>
  </si>
  <si>
    <t>Gyermekek száma</t>
  </si>
  <si>
    <t>Fizetendő adó családi kedvezmény nélkül</t>
  </si>
  <si>
    <r>
      <rPr>
        <b/>
        <u val="single"/>
        <sz val="12"/>
        <color theme="1"/>
        <rFont val="Calibri"/>
        <family val="2"/>
        <scheme val="minor"/>
      </rPr>
      <t>A két szülő által közösen fizetendő SZJA és TBJ összege</t>
    </r>
    <r>
      <rPr>
        <b/>
        <sz val="12"/>
        <color theme="1"/>
        <rFont val="Calibri"/>
        <family val="2"/>
        <scheme val="minor"/>
      </rPr>
      <t xml:space="preserve"> - </t>
    </r>
    <r>
      <rPr>
        <b/>
        <sz val="12"/>
        <color rgb="FFFF0000"/>
        <rFont val="Calibri"/>
        <family val="2"/>
        <scheme val="minor"/>
      </rPr>
      <t>Minél kisebb a cella értéke, annál magasabb a közösen igénybe vett adó és járulékkedvezmény.</t>
    </r>
  </si>
  <si>
    <t>Éves családi kedvezmény keretösszeg</t>
  </si>
  <si>
    <t>SZJA kalkuláció</t>
  </si>
  <si>
    <t>FIZETENDŐ SZJA - VISSZATÉRÍTÉS UTÁN</t>
  </si>
  <si>
    <t xml:space="preserve">FIZETENDŐ TBJ </t>
  </si>
  <si>
    <t>Fizetendő SZJA (visszatérítés nélkül</t>
  </si>
  <si>
    <r>
      <rPr>
        <b/>
        <sz val="12"/>
        <color theme="1"/>
        <rFont val="Calibri"/>
        <family val="2"/>
        <scheme val="minor"/>
      </rPr>
      <t xml:space="preserve">SZJA VISSZATÉRÍTÉS </t>
    </r>
    <r>
      <rPr>
        <sz val="12"/>
        <color theme="1"/>
        <rFont val="Calibri"/>
        <family val="2"/>
        <scheme val="minor"/>
      </rPr>
      <t>MAXIMUMA</t>
    </r>
  </si>
  <si>
    <r>
      <t>Módosítandó cellák  a</t>
    </r>
    <r>
      <rPr>
        <b/>
        <sz val="12"/>
        <color theme="5" tint="0.39998000860214233"/>
        <rFont val="Calibri"/>
        <family val="2"/>
        <scheme val="minor"/>
      </rPr>
      <t xml:space="preserve"> narancs </t>
    </r>
    <r>
      <rPr>
        <b/>
        <sz val="12"/>
        <color theme="0"/>
        <rFont val="Calibri"/>
        <family val="2"/>
        <scheme val="minor"/>
      </rPr>
      <t>színnel jelölt mezők</t>
    </r>
  </si>
  <si>
    <t>Anya éves bruttó bére</t>
  </si>
  <si>
    <t>Apa éves bruttó bére</t>
  </si>
  <si>
    <r>
      <t xml:space="preserve">Családi kedvezmény megosztásának aránya az anya javára  
Lehetséges értékek: 0%-100% között </t>
    </r>
    <r>
      <rPr>
        <b/>
        <sz val="11"/>
        <color theme="1"/>
        <rFont val="Calibri"/>
        <family val="2"/>
        <scheme val="minor"/>
      </rPr>
      <t>(0%= minden kedvezményt az apa vesz igénybe)</t>
    </r>
  </si>
  <si>
    <t>Anya által visszaigényelt SZJA</t>
  </si>
  <si>
    <t>Apa által visszaigényelt SZJA</t>
  </si>
  <si>
    <t>Család által visszaigényelt SZJA</t>
  </si>
  <si>
    <t>TBJ alap adókedvezmény nélkül</t>
  </si>
  <si>
    <t>Bruttó bér</t>
  </si>
  <si>
    <t>Családi adóalapkedvezmény elméleti maximuma</t>
  </si>
  <si>
    <t>Adóalap családi kedvezmény levonása után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</si>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</sst>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\ &quot;Ft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Volkhov-Regular-Latin-ext"/>
      <family val="2"/>
    </font>
    <font>
      <b/>
      <u val="single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5" tint="0.39998000860214233"/>
      <name val="Calibri"/>
      <family val="2"/>
      <scheme val="minor"/>
    </font>
    <font>
      <b/>
      <u val="singleAccounting"/>
      <sz val="20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43">
    <border>
      <left/>
      <right/>
      <top/>
      <bottom/>
      <diagonal/>
    </border>
    <border>
      <left style="medium">
        <color rgb="FFEDEDED"/>
      </left>
      <right style="medium">
        <color rgb="FFEDEDED"/>
      </right>
      <top style="medium">
        <color rgb="FFEDEDED"/>
      </top>
      <bottom style="medium">
        <color rgb="FFEDEDED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3">
    <xf numFmtId="0" fontId="0" fillId="0" borderId="0" xfId="0"/>
    <xf numFmtId="164" fontId="0" fillId="0" borderId="0" xfId="20" applyNumberFormat="1" applyFont="1"/>
    <xf numFmtId="0" fontId="0" fillId="0" borderId="0" xfId="0" applyAlignment="1">
      <alignment horizontal="right"/>
    </xf>
    <xf numFmtId="10" fontId="0" fillId="0" borderId="0" xfId="21" applyNumberFormat="1" applyFont="1"/>
    <xf numFmtId="3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4" fontId="4" fillId="2" borderId="1" xfId="20" applyNumberFormat="1" applyFont="1" applyFill="1" applyBorder="1" applyAlignment="1">
      <alignment vertical="center" wrapText="1"/>
    </xf>
    <xf numFmtId="164" fontId="0" fillId="0" borderId="0" xfId="0" applyNumberFormat="1" applyAlignment="1">
      <alignment horizontal="right"/>
    </xf>
    <xf numFmtId="165" fontId="0" fillId="0" borderId="0" xfId="21" applyNumberFormat="1" applyFont="1" applyAlignment="1">
      <alignment horizontal="right"/>
    </xf>
    <xf numFmtId="0" fontId="0" fillId="0" borderId="0" xfId="0" applyAlignment="1">
      <alignment vertical="center"/>
    </xf>
    <xf numFmtId="9" fontId="0" fillId="0" borderId="0" xfId="21" applyNumberFormat="1" applyFont="1"/>
    <xf numFmtId="0" fontId="0" fillId="3" borderId="2" xfId="0" applyFill="1" applyBorder="1"/>
    <xf numFmtId="164" fontId="0" fillId="3" borderId="2" xfId="0" applyNumberFormat="1" applyFill="1" applyBorder="1"/>
    <xf numFmtId="164" fontId="0" fillId="4" borderId="0" xfId="0" applyNumberFormat="1" applyFill="1"/>
    <xf numFmtId="0" fontId="0" fillId="0" borderId="3" xfId="0" applyBorder="1"/>
    <xf numFmtId="0" fontId="0" fillId="3" borderId="4" xfId="0" applyFill="1" applyBorder="1"/>
    <xf numFmtId="164" fontId="0" fillId="3" borderId="5" xfId="0" applyNumberFormat="1" applyFill="1" applyBorder="1"/>
    <xf numFmtId="0" fontId="0" fillId="3" borderId="6" xfId="0" applyFill="1" applyBorder="1"/>
    <xf numFmtId="164" fontId="0" fillId="3" borderId="7" xfId="0" applyNumberFormat="1" applyFill="1" applyBorder="1"/>
    <xf numFmtId="0" fontId="0" fillId="3" borderId="7" xfId="0" applyFill="1" applyBorder="1"/>
    <xf numFmtId="164" fontId="0" fillId="3" borderId="8" xfId="0" applyNumberFormat="1" applyFill="1" applyBorder="1"/>
    <xf numFmtId="0" fontId="0" fillId="5" borderId="9" xfId="0" applyFill="1" applyBorder="1"/>
    <xf numFmtId="0" fontId="0" fillId="5" borderId="10" xfId="0" applyFill="1" applyBorder="1"/>
    <xf numFmtId="164" fontId="0" fillId="6" borderId="5" xfId="20" applyNumberFormat="1" applyFont="1" applyFill="1" applyBorder="1" applyAlignment="1">
      <alignment horizontal="right"/>
    </xf>
    <xf numFmtId="164" fontId="0" fillId="6" borderId="8" xfId="20" applyNumberFormat="1" applyFont="1" applyFill="1" applyBorder="1" applyAlignment="1">
      <alignment horizontal="right"/>
    </xf>
    <xf numFmtId="0" fontId="0" fillId="6" borderId="4" xfId="0" applyFill="1" applyBorder="1" applyAlignment="1">
      <alignment vertical="center"/>
    </xf>
    <xf numFmtId="0" fontId="0" fillId="6" borderId="4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164" fontId="0" fillId="6" borderId="10" xfId="20" applyNumberFormat="1" applyFont="1" applyFill="1" applyBorder="1"/>
    <xf numFmtId="164" fontId="0" fillId="6" borderId="11" xfId="20" applyNumberFormat="1" applyFont="1" applyFill="1" applyBorder="1"/>
    <xf numFmtId="164" fontId="0" fillId="6" borderId="2" xfId="0" applyNumberFormat="1" applyFill="1" applyBorder="1"/>
    <xf numFmtId="164" fontId="3" fillId="6" borderId="2" xfId="20" applyNumberFormat="1" applyFont="1" applyFill="1" applyBorder="1"/>
    <xf numFmtId="164" fontId="0" fillId="6" borderId="2" xfId="20" applyNumberFormat="1" applyFont="1" applyFill="1" applyBorder="1"/>
    <xf numFmtId="164" fontId="0" fillId="6" borderId="5" xfId="20" applyNumberFormat="1" applyFont="1" applyFill="1" applyBorder="1"/>
    <xf numFmtId="164" fontId="3" fillId="6" borderId="5" xfId="20" applyNumberFormat="1" applyFont="1" applyFill="1" applyBorder="1"/>
    <xf numFmtId="0" fontId="0" fillId="6" borderId="2" xfId="0" applyFill="1" applyBorder="1"/>
    <xf numFmtId="164" fontId="0" fillId="6" borderId="7" xfId="20" applyNumberFormat="1" applyFont="1" applyFill="1" applyBorder="1"/>
    <xf numFmtId="164" fontId="0" fillId="6" borderId="8" xfId="20" applyNumberFormat="1" applyFont="1" applyFill="1" applyBorder="1"/>
    <xf numFmtId="164" fontId="0" fillId="6" borderId="7" xfId="0" applyNumberFormat="1" applyFill="1" applyBorder="1"/>
    <xf numFmtId="164" fontId="0" fillId="6" borderId="8" xfId="0" applyNumberFormat="1" applyFill="1" applyBorder="1"/>
    <xf numFmtId="164" fontId="0" fillId="6" borderId="5" xfId="0" applyNumberFormat="1" applyFill="1" applyBorder="1"/>
    <xf numFmtId="0" fontId="3" fillId="7" borderId="4" xfId="0" applyFont="1" applyFill="1" applyBorder="1"/>
    <xf numFmtId="0" fontId="0" fillId="7" borderId="4" xfId="0" applyFont="1" applyFill="1" applyBorder="1"/>
    <xf numFmtId="0" fontId="0" fillId="7" borderId="4" xfId="0" applyFill="1" applyBorder="1"/>
    <xf numFmtId="0" fontId="3" fillId="7" borderId="6" xfId="0" applyFont="1" applyFill="1" applyBorder="1"/>
    <xf numFmtId="0" fontId="3" fillId="7" borderId="9" xfId="0" applyFont="1" applyFill="1" applyBorder="1"/>
    <xf numFmtId="0" fontId="0" fillId="7" borderId="6" xfId="0" applyFont="1" applyFill="1" applyBorder="1"/>
    <xf numFmtId="0" fontId="3" fillId="8" borderId="10" xfId="0" applyFont="1" applyFill="1" applyBorder="1"/>
    <xf numFmtId="0" fontId="0" fillId="8" borderId="10" xfId="0" applyFill="1" applyBorder="1"/>
    <xf numFmtId="0" fontId="0" fillId="8" borderId="11" xfId="0" applyFill="1" applyBorder="1"/>
    <xf numFmtId="0" fontId="0" fillId="8" borderId="2" xfId="0" applyFill="1" applyBorder="1" applyAlignment="1">
      <alignment horizontal="center"/>
    </xf>
    <xf numFmtId="0" fontId="0" fillId="8" borderId="2" xfId="0" applyFill="1" applyBorder="1"/>
    <xf numFmtId="0" fontId="3" fillId="8" borderId="2" xfId="0" applyFont="1" applyFill="1" applyBorder="1"/>
    <xf numFmtId="0" fontId="3" fillId="8" borderId="7" xfId="0" applyFont="1" applyFill="1" applyBorder="1"/>
    <xf numFmtId="0" fontId="0" fillId="8" borderId="7" xfId="0" applyFill="1" applyBorder="1"/>
    <xf numFmtId="0" fontId="0" fillId="8" borderId="2" xfId="0" applyFont="1" applyFill="1" applyBorder="1"/>
    <xf numFmtId="0" fontId="0" fillId="9" borderId="0" xfId="0" applyFill="1"/>
    <xf numFmtId="0" fontId="3" fillId="4" borderId="12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3" fillId="6" borderId="4" xfId="0" applyFont="1" applyFill="1" applyBorder="1" applyAlignment="1">
      <alignment horizontal="left" vertical="center"/>
    </xf>
    <xf numFmtId="0" fontId="3" fillId="6" borderId="13" xfId="0" applyFont="1" applyFill="1" applyBorder="1" applyAlignment="1">
      <alignment vertical="center"/>
    </xf>
    <xf numFmtId="9" fontId="2" fillId="10" borderId="2" xfId="21" applyNumberFormat="1" applyFont="1" applyFill="1" applyBorder="1"/>
    <xf numFmtId="164" fontId="2" fillId="10" borderId="10" xfId="20" applyNumberFormat="1" applyFont="1" applyFill="1" applyBorder="1"/>
    <xf numFmtId="164" fontId="2" fillId="10" borderId="11" xfId="20" applyNumberFormat="1" applyFont="1" applyFill="1" applyBorder="1"/>
    <xf numFmtId="0" fontId="2" fillId="10" borderId="5" xfId="0" applyFont="1" applyFill="1" applyBorder="1" applyAlignment="1">
      <alignment horizontal="right"/>
    </xf>
    <xf numFmtId="0" fontId="2" fillId="10" borderId="11" xfId="0" applyFont="1" applyFill="1" applyBorder="1" applyAlignment="1">
      <alignment horizontal="right" vertical="center"/>
    </xf>
    <xf numFmtId="0" fontId="3" fillId="8" borderId="12" xfId="0" applyFont="1" applyFill="1" applyBorder="1"/>
    <xf numFmtId="164" fontId="0" fillId="6" borderId="12" xfId="20" applyNumberFormat="1" applyFont="1" applyFill="1" applyBorder="1"/>
    <xf numFmtId="164" fontId="3" fillId="6" borderId="2" xfId="0" applyNumberFormat="1" applyFont="1" applyFill="1" applyBorder="1"/>
    <xf numFmtId="164" fontId="3" fillId="6" borderId="5" xfId="0" applyNumberFormat="1" applyFont="1" applyFill="1" applyBorder="1"/>
    <xf numFmtId="164" fontId="3" fillId="6" borderId="10" xfId="20" applyNumberFormat="1" applyFont="1" applyFill="1" applyBorder="1"/>
    <xf numFmtId="164" fontId="3" fillId="6" borderId="11" xfId="20" applyNumberFormat="1" applyFont="1" applyFill="1" applyBorder="1"/>
    <xf numFmtId="0" fontId="3" fillId="9" borderId="14" xfId="0" applyFont="1" applyFill="1" applyBorder="1"/>
    <xf numFmtId="164" fontId="3" fillId="6" borderId="7" xfId="20" applyNumberFormat="1" applyFont="1" applyFill="1" applyBorder="1"/>
    <xf numFmtId="164" fontId="3" fillId="6" borderId="8" xfId="20" applyNumberFormat="1" applyFont="1" applyFill="1" applyBorder="1"/>
    <xf numFmtId="0" fontId="6" fillId="3" borderId="6" xfId="0" applyFont="1" applyFill="1" applyBorder="1"/>
    <xf numFmtId="164" fontId="6" fillId="3" borderId="7" xfId="0" applyNumberFormat="1" applyFont="1" applyFill="1" applyBorder="1"/>
    <xf numFmtId="164" fontId="6" fillId="3" borderId="8" xfId="0" applyNumberFormat="1" applyFont="1" applyFill="1" applyBorder="1"/>
    <xf numFmtId="0" fontId="6" fillId="3" borderId="9" xfId="0" applyFont="1" applyFill="1" applyBorder="1"/>
    <xf numFmtId="164" fontId="6" fillId="3" borderId="10" xfId="0" applyNumberFormat="1" applyFont="1" applyFill="1" applyBorder="1"/>
    <xf numFmtId="164" fontId="6" fillId="3" borderId="11" xfId="0" applyNumberFormat="1" applyFont="1" applyFill="1" applyBorder="1"/>
    <xf numFmtId="0" fontId="0" fillId="7" borderId="6" xfId="0" applyFill="1" applyBorder="1"/>
    <xf numFmtId="0" fontId="0" fillId="8" borderId="3" xfId="0" applyFill="1" applyBorder="1"/>
    <xf numFmtId="0" fontId="0" fillId="11" borderId="3" xfId="0" applyFill="1" applyBorder="1"/>
    <xf numFmtId="0" fontId="3" fillId="12" borderId="9" xfId="0" applyFont="1" applyFill="1" applyBorder="1"/>
    <xf numFmtId="0" fontId="0" fillId="12" borderId="10" xfId="0" applyFill="1" applyBorder="1"/>
    <xf numFmtId="0" fontId="0" fillId="11" borderId="14" xfId="0" applyFill="1" applyBorder="1"/>
    <xf numFmtId="0" fontId="0" fillId="11" borderId="15" xfId="0" applyFill="1" applyBorder="1" applyAlignment="1">
      <alignment vertical="center"/>
    </xf>
    <xf numFmtId="164" fontId="0" fillId="11" borderId="15" xfId="20" applyNumberFormat="1" applyFont="1" applyFill="1" applyBorder="1"/>
    <xf numFmtId="0" fontId="0" fillId="0" borderId="15" xfId="0" applyBorder="1"/>
    <xf numFmtId="0" fontId="0" fillId="11" borderId="16" xfId="0" applyFill="1" applyBorder="1" applyAlignment="1">
      <alignment vertical="center"/>
    </xf>
    <xf numFmtId="0" fontId="0" fillId="11" borderId="13" xfId="0" applyFill="1" applyBorder="1"/>
    <xf numFmtId="164" fontId="0" fillId="11" borderId="0" xfId="20" applyNumberFormat="1" applyFont="1" applyFill="1" applyBorder="1"/>
    <xf numFmtId="0" fontId="0" fillId="0" borderId="0" xfId="0" applyBorder="1"/>
    <xf numFmtId="164" fontId="0" fillId="0" borderId="0" xfId="20" applyNumberFormat="1" applyFont="1" applyBorder="1"/>
    <xf numFmtId="0" fontId="0" fillId="11" borderId="17" xfId="0" applyFill="1" applyBorder="1" applyAlignment="1">
      <alignment vertical="center"/>
    </xf>
    <xf numFmtId="9" fontId="0" fillId="11" borderId="0" xfId="21" applyNumberFormat="1" applyFont="1" applyFill="1" applyBorder="1"/>
    <xf numFmtId="0" fontId="0" fillId="11" borderId="0" xfId="0" applyFill="1" applyBorder="1" applyAlignment="1">
      <alignment vertical="center"/>
    </xf>
    <xf numFmtId="0" fontId="0" fillId="11" borderId="0" xfId="0" applyFill="1" applyBorder="1" applyAlignment="1">
      <alignment horizontal="right"/>
    </xf>
    <xf numFmtId="0" fontId="0" fillId="11" borderId="0" xfId="0" applyFill="1" applyBorder="1"/>
    <xf numFmtId="0" fontId="0" fillId="0" borderId="13" xfId="0" applyBorder="1"/>
    <xf numFmtId="0" fontId="0" fillId="0" borderId="18" xfId="0" applyBorder="1"/>
    <xf numFmtId="0" fontId="0" fillId="11" borderId="19" xfId="0" applyFill="1" applyBorder="1" applyAlignment="1">
      <alignment vertical="center"/>
    </xf>
    <xf numFmtId="0" fontId="0" fillId="11" borderId="20" xfId="0" applyFill="1" applyBorder="1" applyAlignment="1">
      <alignment vertical="center"/>
    </xf>
    <xf numFmtId="0" fontId="2" fillId="13" borderId="21" xfId="0" applyFont="1" applyFill="1" applyBorder="1" applyAlignment="1">
      <alignment horizontal="center" vertical="center" wrapText="1"/>
    </xf>
    <xf numFmtId="0" fontId="2" fillId="13" borderId="22" xfId="0" applyFont="1" applyFill="1" applyBorder="1" applyAlignment="1">
      <alignment horizontal="center" vertical="center"/>
    </xf>
    <xf numFmtId="0" fontId="2" fillId="13" borderId="23" xfId="0" applyFont="1" applyFill="1" applyBorder="1" applyAlignment="1">
      <alignment horizontal="center" vertical="center" wrapText="1"/>
    </xf>
    <xf numFmtId="0" fontId="10" fillId="14" borderId="11" xfId="0" applyFont="1" applyFill="1" applyBorder="1" applyAlignment="1">
      <alignment horizontal="right" vertical="center"/>
    </xf>
    <xf numFmtId="0" fontId="10" fillId="14" borderId="5" xfId="0" applyFont="1" applyFill="1" applyBorder="1" applyAlignment="1">
      <alignment horizontal="right" vertical="center"/>
    </xf>
    <xf numFmtId="0" fontId="10" fillId="14" borderId="5" xfId="0" applyFont="1" applyFill="1" applyBorder="1" applyAlignment="1">
      <alignment horizontal="right"/>
    </xf>
    <xf numFmtId="164" fontId="10" fillId="14" borderId="10" xfId="20" applyNumberFormat="1" applyFont="1" applyFill="1" applyBorder="1"/>
    <xf numFmtId="164" fontId="10" fillId="14" borderId="11" xfId="20" applyNumberFormat="1" applyFont="1" applyFill="1" applyBorder="1"/>
    <xf numFmtId="0" fontId="0" fillId="0" borderId="0" xfId="0" applyAlignment="1">
      <alignment horizontal="center"/>
    </xf>
    <xf numFmtId="0" fontId="0" fillId="12" borderId="10" xfId="0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0" fillId="8" borderId="2" xfId="0" applyFont="1" applyFill="1" applyBorder="1" applyAlignment="1">
      <alignment horizontal="center"/>
    </xf>
    <xf numFmtId="9" fontId="3" fillId="8" borderId="2" xfId="21" applyFont="1" applyFill="1" applyBorder="1" applyAlignment="1">
      <alignment horizontal="center"/>
    </xf>
    <xf numFmtId="9" fontId="10" fillId="14" borderId="2" xfId="21" applyNumberFormat="1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0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164" fontId="7" fillId="6" borderId="2" xfId="20" applyNumberFormat="1" applyFont="1" applyFill="1" applyBorder="1"/>
    <xf numFmtId="164" fontId="7" fillId="6" borderId="5" xfId="20" applyNumberFormat="1" applyFont="1" applyFill="1" applyBorder="1"/>
    <xf numFmtId="0" fontId="0" fillId="7" borderId="9" xfId="0" applyFill="1" applyBorder="1"/>
    <xf numFmtId="164" fontId="0" fillId="6" borderId="24" xfId="20" applyNumberFormat="1" applyFont="1" applyFill="1" applyBorder="1"/>
    <xf numFmtId="164" fontId="0" fillId="6" borderId="2" xfId="0" applyNumberFormat="1" applyFont="1" applyFill="1" applyBorder="1"/>
    <xf numFmtId="164" fontId="0" fillId="6" borderId="5" xfId="0" applyNumberFormat="1" applyFont="1" applyFill="1" applyBorder="1"/>
    <xf numFmtId="0" fontId="0" fillId="15" borderId="0" xfId="0" applyFill="1"/>
    <xf numFmtId="0" fontId="0" fillId="15" borderId="13" xfId="0" applyFill="1" applyBorder="1"/>
    <xf numFmtId="0" fontId="0" fillId="0" borderId="2" xfId="0" applyBorder="1"/>
    <xf numFmtId="0" fontId="0" fillId="11" borderId="15" xfId="0" applyFill="1" applyBorder="1"/>
    <xf numFmtId="0" fontId="2" fillId="11" borderId="23" xfId="0" applyFont="1" applyFill="1" applyBorder="1" applyAlignment="1">
      <alignment horizontal="center" vertical="center" wrapText="1"/>
    </xf>
    <xf numFmtId="0" fontId="0" fillId="11" borderId="0" xfId="0" applyFill="1" applyBorder="1" applyAlignment="1">
      <alignment horizontal="center" vertical="center"/>
    </xf>
    <xf numFmtId="0" fontId="3" fillId="11" borderId="2" xfId="0" applyFont="1" applyFill="1" applyBorder="1"/>
    <xf numFmtId="0" fontId="0" fillId="11" borderId="2" xfId="0" applyFill="1" applyBorder="1"/>
    <xf numFmtId="0" fontId="3" fillId="11" borderId="7" xfId="0" applyFont="1" applyFill="1" applyBorder="1"/>
    <xf numFmtId="0" fontId="0" fillId="11" borderId="10" xfId="0" applyFill="1" applyBorder="1"/>
    <xf numFmtId="0" fontId="0" fillId="11" borderId="2" xfId="0" applyFont="1" applyFill="1" applyBorder="1"/>
    <xf numFmtId="0" fontId="0" fillId="11" borderId="7" xfId="0" applyFill="1" applyBorder="1"/>
    <xf numFmtId="0" fontId="3" fillId="11" borderId="10" xfId="0" applyFont="1" applyFill="1" applyBorder="1"/>
    <xf numFmtId="0" fontId="0" fillId="11" borderId="2" xfId="0" applyFill="1" applyBorder="1" applyAlignment="1">
      <alignment horizontal="center"/>
    </xf>
    <xf numFmtId="0" fontId="3" fillId="11" borderId="12" xfId="0" applyFont="1" applyFill="1" applyBorder="1"/>
    <xf numFmtId="164" fontId="6" fillId="11" borderId="10" xfId="0" applyNumberFormat="1" applyFont="1" applyFill="1" applyBorder="1"/>
    <xf numFmtId="164" fontId="6" fillId="11" borderId="7" xfId="0" applyNumberFormat="1" applyFont="1" applyFill="1" applyBorder="1"/>
    <xf numFmtId="0" fontId="0" fillId="11" borderId="16" xfId="0" applyFill="1" applyBorder="1"/>
    <xf numFmtId="0" fontId="0" fillId="11" borderId="17" xfId="0" applyFill="1" applyBorder="1"/>
    <xf numFmtId="0" fontId="0" fillId="11" borderId="18" xfId="0" applyFill="1" applyBorder="1"/>
    <xf numFmtId="0" fontId="0" fillId="11" borderId="19" xfId="0" applyFill="1" applyBorder="1"/>
    <xf numFmtId="164" fontId="0" fillId="11" borderId="19" xfId="20" applyNumberFormat="1" applyFont="1" applyFill="1" applyBorder="1"/>
    <xf numFmtId="0" fontId="0" fillId="11" borderId="20" xfId="0" applyFill="1" applyBorder="1"/>
    <xf numFmtId="0" fontId="0" fillId="15" borderId="0" xfId="0" applyFill="1" applyBorder="1"/>
    <xf numFmtId="0" fontId="0" fillId="11" borderId="13" xfId="0" applyFill="1" applyBorder="1" applyAlignment="1">
      <alignment vertical="center"/>
    </xf>
    <xf numFmtId="164" fontId="0" fillId="11" borderId="0" xfId="20" applyNumberFormat="1" applyFont="1" applyFill="1" applyBorder="1" applyAlignment="1">
      <alignment vertical="center"/>
    </xf>
    <xf numFmtId="0" fontId="0" fillId="11" borderId="13" xfId="0" applyFill="1" applyBorder="1" applyAlignment="1">
      <alignment horizontal="center"/>
    </xf>
    <xf numFmtId="164" fontId="0" fillId="11" borderId="0" xfId="20" applyNumberFormat="1" applyFont="1" applyFill="1" applyBorder="1" applyAlignment="1">
      <alignment horizontal="center"/>
    </xf>
    <xf numFmtId="0" fontId="0" fillId="11" borderId="17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/>
    </xf>
    <xf numFmtId="164" fontId="6" fillId="11" borderId="0" xfId="0" applyNumberFormat="1" applyFont="1" applyFill="1" applyBorder="1"/>
    <xf numFmtId="0" fontId="13" fillId="13" borderId="25" xfId="0" applyFont="1" applyFill="1" applyBorder="1" applyAlignment="1" applyProtection="1">
      <alignment horizontal="center" vertical="center" wrapText="1"/>
      <protection/>
    </xf>
    <xf numFmtId="0" fontId="13" fillId="13" borderId="26" xfId="0" applyFont="1" applyFill="1" applyBorder="1" applyAlignment="1" applyProtection="1">
      <alignment horizontal="right" vertical="center" wrapText="1"/>
      <protection/>
    </xf>
    <xf numFmtId="0" fontId="13" fillId="13" borderId="27" xfId="0" applyFont="1" applyFill="1" applyBorder="1" applyAlignment="1" applyProtection="1">
      <alignment horizontal="right" vertical="center"/>
      <protection/>
    </xf>
    <xf numFmtId="0" fontId="6" fillId="7" borderId="9" xfId="0" applyFont="1" applyFill="1" applyBorder="1" applyAlignment="1" applyProtection="1">
      <alignment vertical="center"/>
      <protection/>
    </xf>
    <xf numFmtId="164" fontId="18" fillId="6" borderId="10" xfId="20" applyNumberFormat="1" applyFont="1" applyFill="1" applyBorder="1" applyAlignment="1" applyProtection="1">
      <alignment horizontal="right" vertical="center"/>
      <protection/>
    </xf>
    <xf numFmtId="164" fontId="18" fillId="6" borderId="11" xfId="20" applyNumberFormat="1" applyFont="1" applyFill="1" applyBorder="1" applyAlignment="1" applyProtection="1">
      <alignment horizontal="right" vertical="center"/>
      <protection/>
    </xf>
    <xf numFmtId="0" fontId="6" fillId="7" borderId="4" xfId="0" applyFont="1" applyFill="1" applyBorder="1" applyAlignment="1" applyProtection="1">
      <alignment vertical="center"/>
      <protection/>
    </xf>
    <xf numFmtId="164" fontId="6" fillId="6" borderId="2" xfId="20" applyNumberFormat="1" applyFont="1" applyFill="1" applyBorder="1" applyAlignment="1" applyProtection="1">
      <alignment horizontal="right" vertical="center"/>
      <protection/>
    </xf>
    <xf numFmtId="164" fontId="6" fillId="6" borderId="5" xfId="20" applyNumberFormat="1" applyFont="1" applyFill="1" applyBorder="1" applyAlignment="1" applyProtection="1">
      <alignment horizontal="right" vertical="center"/>
      <protection/>
    </xf>
    <xf numFmtId="0" fontId="17" fillId="7" borderId="4" xfId="0" applyFont="1" applyFill="1" applyBorder="1" applyAlignment="1" applyProtection="1">
      <alignment vertical="center"/>
      <protection/>
    </xf>
    <xf numFmtId="164" fontId="17" fillId="6" borderId="2" xfId="20" applyNumberFormat="1" applyFont="1" applyFill="1" applyBorder="1" applyAlignment="1" applyProtection="1">
      <alignment horizontal="right" vertical="center"/>
      <protection/>
    </xf>
    <xf numFmtId="164" fontId="17" fillId="6" borderId="5" xfId="20" applyNumberFormat="1" applyFont="1" applyFill="1" applyBorder="1" applyAlignment="1" applyProtection="1">
      <alignment horizontal="right" vertical="center"/>
      <protection/>
    </xf>
    <xf numFmtId="0" fontId="6" fillId="7" borderId="6" xfId="0" applyFont="1" applyFill="1" applyBorder="1" applyAlignment="1" applyProtection="1">
      <alignment vertical="center"/>
      <protection/>
    </xf>
    <xf numFmtId="164" fontId="6" fillId="6" borderId="7" xfId="20" applyNumberFormat="1" applyFont="1" applyFill="1" applyBorder="1" applyAlignment="1" applyProtection="1">
      <alignment horizontal="right" vertical="center"/>
      <protection/>
    </xf>
    <xf numFmtId="164" fontId="6" fillId="6" borderId="8" xfId="20" applyNumberFormat="1" applyFont="1" applyFill="1" applyBorder="1" applyAlignment="1" applyProtection="1">
      <alignment horizontal="right" vertical="center"/>
      <protection/>
    </xf>
    <xf numFmtId="0" fontId="17" fillId="11" borderId="0" xfId="0" applyFont="1" applyFill="1" applyBorder="1" applyAlignment="1" applyProtection="1">
      <alignment vertical="center"/>
      <protection/>
    </xf>
    <xf numFmtId="0" fontId="17" fillId="11" borderId="0" xfId="0" applyFont="1" applyFill="1" applyBorder="1" applyAlignment="1" applyProtection="1">
      <alignment horizontal="right" vertical="center"/>
      <protection/>
    </xf>
    <xf numFmtId="164" fontId="17" fillId="6" borderId="10" xfId="20" applyNumberFormat="1" applyFont="1" applyFill="1" applyBorder="1" applyAlignment="1" applyProtection="1">
      <alignment horizontal="right" vertical="center"/>
      <protection/>
    </xf>
    <xf numFmtId="164" fontId="17" fillId="6" borderId="11" xfId="20" applyNumberFormat="1" applyFont="1" applyFill="1" applyBorder="1" applyAlignment="1" applyProtection="1">
      <alignment horizontal="right" vertical="center"/>
      <protection/>
    </xf>
    <xf numFmtId="0" fontId="19" fillId="7" borderId="6" xfId="0" applyFont="1" applyFill="1" applyBorder="1" applyAlignment="1" applyProtection="1">
      <alignment vertical="center"/>
      <protection/>
    </xf>
    <xf numFmtId="164" fontId="19" fillId="6" borderId="7" xfId="0" applyNumberFormat="1" applyFont="1" applyFill="1" applyBorder="1" applyAlignment="1" applyProtection="1">
      <alignment horizontal="right" vertical="center"/>
      <protection/>
    </xf>
    <xf numFmtId="164" fontId="19" fillId="6" borderId="8" xfId="0" applyNumberFormat="1" applyFont="1" applyFill="1" applyBorder="1" applyAlignment="1" applyProtection="1">
      <alignment horizontal="right" vertical="center"/>
      <protection/>
    </xf>
    <xf numFmtId="164" fontId="6" fillId="6" borderId="10" xfId="20" applyNumberFormat="1" applyFont="1" applyFill="1" applyBorder="1" applyAlignment="1" applyProtection="1">
      <alignment horizontal="right" vertical="center"/>
      <protection/>
    </xf>
    <xf numFmtId="164" fontId="6" fillId="6" borderId="11" xfId="20" applyNumberFormat="1" applyFont="1" applyFill="1" applyBorder="1" applyAlignment="1" applyProtection="1">
      <alignment horizontal="right" vertical="center"/>
      <protection/>
    </xf>
    <xf numFmtId="164" fontId="17" fillId="6" borderId="2" xfId="0" applyNumberFormat="1" applyFont="1" applyFill="1" applyBorder="1" applyAlignment="1" applyProtection="1">
      <alignment horizontal="right" vertical="center"/>
      <protection/>
    </xf>
    <xf numFmtId="164" fontId="17" fillId="6" borderId="5" xfId="0" applyNumberFormat="1" applyFont="1" applyFill="1" applyBorder="1" applyAlignment="1" applyProtection="1">
      <alignment horizontal="right" vertical="center"/>
      <protection/>
    </xf>
    <xf numFmtId="164" fontId="6" fillId="6" borderId="2" xfId="0" applyNumberFormat="1" applyFont="1" applyFill="1" applyBorder="1" applyAlignment="1" applyProtection="1">
      <alignment horizontal="right" vertical="center"/>
      <protection/>
    </xf>
    <xf numFmtId="164" fontId="6" fillId="6" borderId="5" xfId="0" applyNumberFormat="1" applyFont="1" applyFill="1" applyBorder="1" applyAlignment="1" applyProtection="1">
      <alignment horizontal="right" vertical="center"/>
      <protection/>
    </xf>
    <xf numFmtId="0" fontId="17" fillId="7" borderId="28" xfId="0" applyFont="1" applyFill="1" applyBorder="1" applyAlignment="1" applyProtection="1">
      <alignment vertical="center"/>
      <protection/>
    </xf>
    <xf numFmtId="164" fontId="17" fillId="6" borderId="29" xfId="20" applyNumberFormat="1" applyFont="1" applyFill="1" applyBorder="1" applyAlignment="1" applyProtection="1">
      <alignment horizontal="right" vertical="center"/>
      <protection/>
    </xf>
    <xf numFmtId="164" fontId="17" fillId="6" borderId="30" xfId="20" applyNumberFormat="1" applyFont="1" applyFill="1" applyBorder="1" applyAlignment="1" applyProtection="1">
      <alignment horizontal="right" vertical="center"/>
      <protection/>
    </xf>
    <xf numFmtId="0" fontId="17" fillId="7" borderId="31" xfId="0" applyFont="1" applyFill="1" applyBorder="1" applyAlignment="1" applyProtection="1">
      <alignment vertical="center"/>
      <protection/>
    </xf>
    <xf numFmtId="164" fontId="17" fillId="6" borderId="3" xfId="20" applyNumberFormat="1" applyFont="1" applyFill="1" applyBorder="1" applyAlignment="1" applyProtection="1">
      <alignment horizontal="right" vertical="center"/>
      <protection/>
    </xf>
    <xf numFmtId="164" fontId="17" fillId="6" borderId="32" xfId="20" applyNumberFormat="1" applyFont="1" applyFill="1" applyBorder="1" applyAlignment="1" applyProtection="1">
      <alignment horizontal="right" vertical="center"/>
      <protection/>
    </xf>
    <xf numFmtId="0" fontId="6" fillId="7" borderId="33" xfId="0" applyFont="1" applyFill="1" applyBorder="1" applyAlignment="1" applyProtection="1">
      <alignment vertical="center"/>
      <protection/>
    </xf>
    <xf numFmtId="0" fontId="17" fillId="7" borderId="9" xfId="0" applyFont="1" applyFill="1" applyBorder="1" applyAlignment="1" applyProtection="1">
      <alignment vertical="center"/>
      <protection/>
    </xf>
    <xf numFmtId="0" fontId="17" fillId="7" borderId="6" xfId="0" applyFont="1" applyFill="1" applyBorder="1" applyAlignment="1" applyProtection="1">
      <alignment vertical="center"/>
      <protection/>
    </xf>
    <xf numFmtId="164" fontId="17" fillId="6" borderId="7" xfId="20" applyNumberFormat="1" applyFont="1" applyFill="1" applyBorder="1" applyAlignment="1" applyProtection="1">
      <alignment horizontal="right" vertical="center"/>
      <protection/>
    </xf>
    <xf numFmtId="164" fontId="17" fillId="6" borderId="8" xfId="20" applyNumberFormat="1" applyFont="1" applyFill="1" applyBorder="1" applyAlignment="1" applyProtection="1">
      <alignment horizontal="right" vertical="center"/>
      <protection/>
    </xf>
    <xf numFmtId="0" fontId="6" fillId="7" borderId="25" xfId="0" applyFont="1" applyFill="1" applyBorder="1" applyAlignment="1" applyProtection="1">
      <alignment vertical="center"/>
      <protection/>
    </xf>
    <xf numFmtId="164" fontId="6" fillId="6" borderId="34" xfId="0" applyNumberFormat="1" applyFont="1" applyFill="1" applyBorder="1" applyAlignment="1" applyProtection="1">
      <alignment horizontal="right" vertical="center"/>
      <protection/>
    </xf>
    <xf numFmtId="164" fontId="6" fillId="6" borderId="27" xfId="0" applyNumberFormat="1" applyFont="1" applyFill="1" applyBorder="1" applyAlignment="1" applyProtection="1">
      <alignment horizontal="right" vertical="center"/>
      <protection/>
    </xf>
    <xf numFmtId="0" fontId="6" fillId="7" borderId="23" xfId="0" applyFont="1" applyFill="1" applyBorder="1" applyAlignment="1" applyProtection="1">
      <alignment vertical="center"/>
      <protection/>
    </xf>
    <xf numFmtId="164" fontId="6" fillId="6" borderId="21" xfId="0" applyNumberFormat="1" applyFont="1" applyFill="1" applyBorder="1" applyAlignment="1" applyProtection="1">
      <alignment horizontal="right" vertical="center"/>
      <protection/>
    </xf>
    <xf numFmtId="164" fontId="6" fillId="6" borderId="22" xfId="0" applyNumberFormat="1" applyFont="1" applyFill="1" applyBorder="1" applyAlignment="1" applyProtection="1">
      <alignment horizontal="right" vertical="center"/>
      <protection/>
    </xf>
    <xf numFmtId="0" fontId="6" fillId="9" borderId="9" xfId="0" applyFont="1" applyFill="1" applyBorder="1" applyAlignment="1" applyProtection="1">
      <alignment vertical="center"/>
      <protection/>
    </xf>
    <xf numFmtId="166" fontId="3" fillId="9" borderId="10" xfId="0" applyNumberFormat="1" applyFont="1" applyFill="1" applyBorder="1" applyAlignment="1" applyProtection="1">
      <alignment horizontal="center"/>
      <protection/>
    </xf>
    <xf numFmtId="166" fontId="6" fillId="9" borderId="11" xfId="0" applyNumberFormat="1" applyFont="1" applyFill="1" applyBorder="1" applyAlignment="1" applyProtection="1">
      <alignment horizontal="center" vertical="center"/>
      <protection/>
    </xf>
    <xf numFmtId="0" fontId="6" fillId="9" borderId="4" xfId="0" applyFont="1" applyFill="1" applyBorder="1" applyAlignment="1" applyProtection="1">
      <alignment vertical="center"/>
      <protection/>
    </xf>
    <xf numFmtId="166" fontId="6" fillId="9" borderId="2" xfId="0" applyNumberFormat="1" applyFont="1" applyFill="1" applyBorder="1" applyAlignment="1" applyProtection="1">
      <alignment horizontal="center" vertical="center"/>
      <protection/>
    </xf>
    <xf numFmtId="166" fontId="3" fillId="9" borderId="5" xfId="0" applyNumberFormat="1" applyFont="1" applyFill="1" applyBorder="1" applyAlignment="1" applyProtection="1">
      <alignment horizontal="center"/>
      <protection/>
    </xf>
    <xf numFmtId="0" fontId="22" fillId="9" borderId="6" xfId="0" applyFont="1" applyFill="1" applyBorder="1" applyAlignment="1" applyProtection="1">
      <alignment vertical="center"/>
      <protection/>
    </xf>
    <xf numFmtId="166" fontId="14" fillId="16" borderId="35" xfId="20" applyNumberFormat="1" applyFont="1" applyFill="1" applyBorder="1" applyAlignment="1" applyProtection="1">
      <alignment/>
      <protection locked="0"/>
    </xf>
    <xf numFmtId="166" fontId="14" fillId="16" borderId="5" xfId="20" applyNumberFormat="1" applyFont="1" applyFill="1" applyBorder="1" applyAlignment="1" applyProtection="1">
      <alignment/>
      <protection locked="0"/>
    </xf>
    <xf numFmtId="164" fontId="14" fillId="16" borderId="5" xfId="20" applyNumberFormat="1" applyFont="1" applyFill="1" applyBorder="1" applyAlignment="1" applyProtection="1">
      <alignment/>
      <protection locked="0"/>
    </xf>
    <xf numFmtId="164" fontId="14" fillId="16" borderId="5" xfId="20" applyNumberFormat="1" applyFont="1" applyFill="1" applyBorder="1" applyAlignment="1" applyProtection="1">
      <alignment horizontal="center"/>
      <protection locked="0"/>
    </xf>
    <xf numFmtId="164" fontId="15" fillId="6" borderId="5" xfId="20" applyNumberFormat="1" applyFont="1" applyFill="1" applyBorder="1" applyAlignment="1" applyProtection="1">
      <alignment horizontal="center"/>
      <protection locked="0"/>
    </xf>
    <xf numFmtId="164" fontId="16" fillId="6" borderId="5" xfId="20" applyNumberFormat="1" applyFont="1" applyFill="1" applyBorder="1" applyAlignment="1" applyProtection="1">
      <alignment/>
      <protection locked="0"/>
    </xf>
    <xf numFmtId="9" fontId="14" fillId="16" borderId="8" xfId="21" applyFont="1" applyFill="1" applyBorder="1" applyAlignment="1" applyProtection="1">
      <alignment vertical="center"/>
      <protection locked="0"/>
    </xf>
    <xf numFmtId="0" fontId="3" fillId="6" borderId="4" xfId="0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14" borderId="5" xfId="0" applyFont="1" applyFill="1" applyBorder="1" applyAlignment="1">
      <alignment horizontal="right" vertical="center"/>
    </xf>
    <xf numFmtId="164" fontId="8" fillId="9" borderId="16" xfId="0" applyNumberFormat="1" applyFont="1" applyFill="1" applyBorder="1" applyAlignment="1">
      <alignment horizontal="center" vertical="center"/>
    </xf>
    <xf numFmtId="164" fontId="8" fillId="9" borderId="17" xfId="0" applyNumberFormat="1" applyFont="1" applyFill="1" applyBorder="1" applyAlignment="1">
      <alignment horizontal="center" vertical="center"/>
    </xf>
    <xf numFmtId="164" fontId="8" fillId="9" borderId="20" xfId="0" applyNumberFormat="1" applyFont="1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10" fillId="14" borderId="36" xfId="0" applyFont="1" applyFill="1" applyBorder="1" applyAlignment="1">
      <alignment horizontal="center" vertical="center"/>
    </xf>
    <xf numFmtId="0" fontId="10" fillId="14" borderId="37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9" borderId="38" xfId="0" applyFont="1" applyFill="1" applyBorder="1" applyAlignment="1" applyProtection="1">
      <alignment horizontal="center" vertical="center" wrapText="1"/>
      <protection/>
    </xf>
    <xf numFmtId="0" fontId="6" fillId="9" borderId="4" xfId="0" applyFont="1" applyFill="1" applyBorder="1" applyAlignment="1" applyProtection="1">
      <alignment horizontal="center" vertical="center" wrapText="1"/>
      <protection/>
    </xf>
    <xf numFmtId="0" fontId="6" fillId="9" borderId="6" xfId="0" applyFont="1" applyFill="1" applyBorder="1" applyAlignment="1" applyProtection="1">
      <alignment horizontal="center" vertical="center" wrapText="1"/>
      <protection/>
    </xf>
    <xf numFmtId="164" fontId="13" fillId="13" borderId="40" xfId="20" applyNumberFormat="1" applyFont="1" applyFill="1" applyBorder="1" applyAlignment="1">
      <alignment horizontal="center" vertical="center"/>
    </xf>
    <xf numFmtId="164" fontId="13" fillId="13" borderId="41" xfId="20" applyNumberFormat="1" applyFont="1" applyFill="1" applyBorder="1" applyAlignment="1">
      <alignment horizontal="center" vertical="center"/>
    </xf>
    <xf numFmtId="164" fontId="13" fillId="13" borderId="42" xfId="20" applyNumberFormat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166" fontId="21" fillId="9" borderId="39" xfId="0" applyNumberFormat="1" applyFont="1" applyFill="1" applyBorder="1" applyAlignment="1" applyProtection="1">
      <alignment horizontal="center" vertical="center"/>
      <protection/>
    </xf>
    <xf numFmtId="166" fontId="21" fillId="9" borderId="35" xfId="0" applyNumberFormat="1" applyFont="1" applyFill="1" applyBorder="1" applyAlignment="1" applyProtection="1">
      <alignment horizontal="center" vertical="center"/>
      <protection/>
    </xf>
    <xf numFmtId="166" fontId="21" fillId="9" borderId="2" xfId="0" applyNumberFormat="1" applyFont="1" applyFill="1" applyBorder="1" applyAlignment="1" applyProtection="1">
      <alignment horizontal="center" vertical="center"/>
      <protection/>
    </xf>
    <xf numFmtId="166" fontId="21" fillId="9" borderId="5" xfId="0" applyNumberFormat="1" applyFont="1" applyFill="1" applyBorder="1" applyAlignment="1" applyProtection="1">
      <alignment horizontal="center" vertical="center"/>
      <protection/>
    </xf>
    <xf numFmtId="166" fontId="21" fillId="9" borderId="7" xfId="0" applyNumberFormat="1" applyFont="1" applyFill="1" applyBorder="1" applyAlignment="1" applyProtection="1">
      <alignment horizontal="center" vertical="center"/>
      <protection/>
    </xf>
    <xf numFmtId="166" fontId="21" fillId="9" borderId="8" xfId="0" applyNumberFormat="1" applyFont="1" applyFill="1" applyBorder="1" applyAlignment="1" applyProtection="1">
      <alignment horizontal="center" vertical="center"/>
      <protection/>
    </xf>
    <xf numFmtId="166" fontId="22" fillId="9" borderId="7" xfId="0" applyNumberFormat="1" applyFont="1" applyFill="1" applyBorder="1" applyAlignment="1" applyProtection="1">
      <alignment horizontal="center" vertical="center"/>
      <protection/>
    </xf>
    <xf numFmtId="166" fontId="22" fillId="9" borderId="8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  <cellStyle name="Százalé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bt.hu" TargetMode="External" /><Relationship Id="rId3" Type="http://schemas.openxmlformats.org/officeDocument/2006/relationships/hyperlink" Target="http://www.abt.h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581025</xdr:colOff>
      <xdr:row>1</xdr:row>
      <xdr:rowOff>228600</xdr:rowOff>
    </xdr:from>
    <xdr:to>
      <xdr:col>5</xdr:col>
      <xdr:colOff>1724025</xdr:colOff>
      <xdr:row>9</xdr:row>
      <xdr:rowOff>381000</xdr:rowOff>
    </xdr:to>
    <xdr:pic>
      <xdr:nvPicPr>
        <xdr:cNvPr id="2" name="Picture 0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77200" y="390525"/>
          <a:ext cx="1143000" cy="13811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467A8-A836-4582-A542-41426601C53C}">
  <dimension ref="B1:N44"/>
  <sheetViews>
    <sheetView zoomScale="85" zoomScaleNormal="85" workbookViewId="0" topLeftCell="A1">
      <selection activeCell="B33" sqref="B33"/>
    </sheetView>
  </sheetViews>
  <sheetFormatPr defaultColWidth="9.140625" defaultRowHeight="15"/>
  <cols>
    <col min="1" max="1" width="0.85546875" style="0" customWidth="1"/>
    <col min="2" max="2" width="45.421875" style="0" bestFit="1" customWidth="1"/>
    <col min="3" max="3" width="14.421875" style="0" customWidth="1"/>
    <col min="4" max="4" width="6.00390625" style="0" bestFit="1" customWidth="1"/>
    <col min="5" max="5" width="11.8515625" style="0" customWidth="1"/>
    <col min="6" max="6" width="10.57421875" style="0" bestFit="1" customWidth="1"/>
    <col min="7" max="7" width="4.28125" style="1" customWidth="1"/>
    <col min="8" max="8" width="46.57421875" style="9" customWidth="1"/>
    <col min="9" max="9" width="10.57421875" style="2" bestFit="1" customWidth="1"/>
    <col min="10" max="10" width="7.28125" style="0" hidden="1" customWidth="1"/>
    <col min="11" max="11" width="11.28125" style="0" hidden="1" customWidth="1"/>
    <col min="12" max="12" width="14.28125" style="0" hidden="1" customWidth="1"/>
    <col min="13" max="13" width="19.7109375" style="0" hidden="1" customWidth="1"/>
    <col min="14" max="14" width="24.7109375" style="0" hidden="1" customWidth="1"/>
    <col min="15" max="15" width="18.28125" style="0" hidden="1" customWidth="1"/>
    <col min="16" max="16" width="15.7109375" style="0" bestFit="1" customWidth="1"/>
  </cols>
  <sheetData>
    <row r="1" spans="2:14" ht="43.2" customHeight="1" thickBot="1">
      <c r="B1" s="57" t="s">
        <v>28</v>
      </c>
      <c r="C1" s="58" t="s">
        <v>26</v>
      </c>
      <c r="D1" s="58" t="s">
        <v>29</v>
      </c>
      <c r="E1" s="58" t="s">
        <v>0</v>
      </c>
      <c r="F1" s="57" t="s">
        <v>1</v>
      </c>
      <c r="H1" s="59" t="s">
        <v>16</v>
      </c>
      <c r="I1" s="67">
        <v>0</v>
      </c>
      <c r="K1" s="230" t="s">
        <v>10</v>
      </c>
      <c r="L1" s="230"/>
      <c r="M1" t="s">
        <v>7</v>
      </c>
      <c r="N1" t="s">
        <v>8</v>
      </c>
    </row>
    <row r="2" spans="2:14" ht="15">
      <c r="B2" s="21" t="s">
        <v>2</v>
      </c>
      <c r="C2" s="22"/>
      <c r="D2" s="22"/>
      <c r="E2" s="64">
        <v>7500000</v>
      </c>
      <c r="F2" s="65"/>
      <c r="H2" s="60" t="s">
        <v>17</v>
      </c>
      <c r="I2" s="67">
        <v>0</v>
      </c>
      <c r="K2" s="230"/>
      <c r="L2" s="230"/>
      <c r="M2" s="1">
        <v>33335</v>
      </c>
      <c r="N2" s="1">
        <v>5000</v>
      </c>
    </row>
    <row r="3" spans="2:14" ht="15">
      <c r="B3" s="41" t="s">
        <v>11</v>
      </c>
      <c r="C3" s="52"/>
      <c r="D3" s="52"/>
      <c r="E3" s="31">
        <f>+E2</f>
        <v>7500000</v>
      </c>
      <c r="F3" s="34">
        <f>+F2</f>
        <v>0</v>
      </c>
      <c r="H3" s="228" t="s">
        <v>9</v>
      </c>
      <c r="I3" s="229">
        <v>0</v>
      </c>
      <c r="K3" t="s">
        <v>5</v>
      </c>
      <c r="L3" t="s">
        <v>6</v>
      </c>
      <c r="M3" s="1" t="s">
        <v>7</v>
      </c>
      <c r="N3" s="1" t="s">
        <v>8</v>
      </c>
    </row>
    <row r="4" spans="2:14" ht="15">
      <c r="B4" s="42" t="s">
        <v>14</v>
      </c>
      <c r="C4" s="55"/>
      <c r="D4" s="55"/>
      <c r="E4" s="32">
        <f>+I1</f>
        <v>0</v>
      </c>
      <c r="F4" s="33">
        <f>+I2</f>
        <v>0</v>
      </c>
      <c r="H4" s="228"/>
      <c r="I4" s="229"/>
      <c r="K4">
        <v>1</v>
      </c>
      <c r="L4">
        <v>1</v>
      </c>
      <c r="M4" s="1">
        <v>66670</v>
      </c>
      <c r="N4" s="1">
        <f>+M4*0.15</f>
        <v>10000.5</v>
      </c>
    </row>
    <row r="5" spans="2:14" ht="15">
      <c r="B5" s="41" t="s">
        <v>15</v>
      </c>
      <c r="C5" s="52"/>
      <c r="D5" s="52"/>
      <c r="E5" s="31">
        <f>+E3-E4</f>
        <v>7500000</v>
      </c>
      <c r="F5" s="34">
        <f>+F3-F4</f>
        <v>0</v>
      </c>
      <c r="H5" s="25" t="s">
        <v>27</v>
      </c>
      <c r="I5" s="23">
        <f>IF(I3&gt;0,I3*M2,0)</f>
        <v>0</v>
      </c>
      <c r="K5">
        <v>2</v>
      </c>
      <c r="L5">
        <v>1</v>
      </c>
      <c r="M5" s="1">
        <v>133330</v>
      </c>
      <c r="N5" s="1">
        <f aca="true" t="shared" si="0" ref="N5:N18">+M5*0.15</f>
        <v>19999.5</v>
      </c>
    </row>
    <row r="6" spans="2:14" ht="15">
      <c r="B6" s="43" t="s">
        <v>12</v>
      </c>
      <c r="C6" s="30">
        <f>+I5</f>
        <v>0</v>
      </c>
      <c r="D6" s="63">
        <v>0.5</v>
      </c>
      <c r="E6" s="32">
        <f>+C6*D6</f>
        <v>0</v>
      </c>
      <c r="F6" s="33">
        <f>+C6-E6</f>
        <v>0</v>
      </c>
      <c r="H6" s="61" t="s">
        <v>3</v>
      </c>
      <c r="I6" s="66">
        <v>2</v>
      </c>
      <c r="K6">
        <v>2</v>
      </c>
      <c r="L6">
        <v>2</v>
      </c>
      <c r="M6" s="1">
        <f>+M5*2</f>
        <v>266660</v>
      </c>
      <c r="N6" s="1">
        <f t="shared" si="0"/>
        <v>39999</v>
      </c>
    </row>
    <row r="7" spans="2:14" ht="15">
      <c r="B7" s="41" t="s">
        <v>30</v>
      </c>
      <c r="C7" s="52"/>
      <c r="D7" s="52"/>
      <c r="E7" s="31">
        <f>+E5-E6</f>
        <v>7500000</v>
      </c>
      <c r="F7" s="34">
        <f>+F5-F6</f>
        <v>0</v>
      </c>
      <c r="H7" s="61" t="s">
        <v>4</v>
      </c>
      <c r="I7" s="66">
        <v>2</v>
      </c>
      <c r="K7">
        <v>3</v>
      </c>
      <c r="L7">
        <v>1</v>
      </c>
      <c r="M7" s="1">
        <v>220000</v>
      </c>
      <c r="N7" s="1">
        <f t="shared" si="0"/>
        <v>33000</v>
      </c>
    </row>
    <row r="8" spans="2:14" ht="15">
      <c r="B8" s="43" t="s">
        <v>44</v>
      </c>
      <c r="C8" s="30">
        <f>+I11</f>
        <v>3199920</v>
      </c>
      <c r="D8" s="63">
        <v>1</v>
      </c>
      <c r="E8" s="32">
        <f>+C8*D8</f>
        <v>3199920</v>
      </c>
      <c r="F8" s="33">
        <f>+C8-E8</f>
        <v>0</v>
      </c>
      <c r="H8" s="26" t="s">
        <v>22</v>
      </c>
      <c r="I8" s="23">
        <f>IF(I6=1,M4,IF(I6=2,M5,IF(I6=3,M7,IF(I6=4,M7,IF(I6=5,M7)))))</f>
        <v>133330</v>
      </c>
      <c r="K8">
        <v>3</v>
      </c>
      <c r="L8">
        <v>2</v>
      </c>
      <c r="M8" s="1">
        <f>+M7*2</f>
        <v>440000</v>
      </c>
      <c r="N8" s="1">
        <f t="shared" si="0"/>
        <v>66000</v>
      </c>
    </row>
    <row r="9" spans="2:14" ht="15">
      <c r="B9" s="41" t="s">
        <v>13</v>
      </c>
      <c r="C9" s="52"/>
      <c r="D9" s="52"/>
      <c r="E9" s="31">
        <f>+IF(E7-E8&lt;0,0,E7-E8)</f>
        <v>4300080</v>
      </c>
      <c r="F9" s="34">
        <f>+IF(F7-F8&lt;0,0,F7-F8)</f>
        <v>0</v>
      </c>
      <c r="H9" s="26" t="s">
        <v>21</v>
      </c>
      <c r="I9" s="23">
        <f>IF(I7=1,I8,IF(I7=2,I8*2,IF(I7=3,I8*3,IF(I7=4,I8*4,IF(I7=5,I8*5)))))</f>
        <v>266660</v>
      </c>
      <c r="K9">
        <v>3</v>
      </c>
      <c r="L9">
        <v>3</v>
      </c>
      <c r="M9" s="1">
        <f>+M7*3</f>
        <v>660000</v>
      </c>
      <c r="N9" s="1">
        <f t="shared" si="0"/>
        <v>99000</v>
      </c>
    </row>
    <row r="10" spans="2:14" ht="15">
      <c r="B10" s="43" t="s">
        <v>32</v>
      </c>
      <c r="C10" s="51"/>
      <c r="D10" s="51"/>
      <c r="E10" s="32">
        <f>IF(E7-E8&lt;0,(E7-E8)*-1,0)</f>
        <v>0</v>
      </c>
      <c r="F10" s="33">
        <f>IF(F7-F8&lt;0,(F7-F8)*-1,0)</f>
        <v>0</v>
      </c>
      <c r="G10" s="10"/>
      <c r="H10" s="62" t="s">
        <v>42</v>
      </c>
      <c r="I10" s="66">
        <v>12</v>
      </c>
      <c r="K10">
        <v>4</v>
      </c>
      <c r="L10">
        <v>1</v>
      </c>
      <c r="M10" s="1">
        <f>+M7*1</f>
        <v>220000</v>
      </c>
      <c r="N10" s="1">
        <f t="shared" si="0"/>
        <v>33000</v>
      </c>
    </row>
    <row r="11" spans="2:14" ht="15" thickBot="1">
      <c r="B11" s="44" t="s">
        <v>33</v>
      </c>
      <c r="C11" s="53"/>
      <c r="D11" s="53"/>
      <c r="E11" s="36">
        <f>IF(E8&gt;E7,E7,E8)</f>
        <v>3199920</v>
      </c>
      <c r="F11" s="37">
        <f>IF(F8&gt;F7,F7,F8)</f>
        <v>0</v>
      </c>
      <c r="H11" s="27" t="s">
        <v>31</v>
      </c>
      <c r="I11" s="24">
        <f>+I9*I10</f>
        <v>3199920</v>
      </c>
      <c r="K11">
        <v>4</v>
      </c>
      <c r="L11">
        <v>2</v>
      </c>
      <c r="M11" s="1">
        <f>+M10*2</f>
        <v>440000</v>
      </c>
      <c r="N11" s="1">
        <f t="shared" si="0"/>
        <v>66000</v>
      </c>
    </row>
    <row r="12" spans="2:14" ht="9" customHeight="1" thickBot="1">
      <c r="B12" s="14"/>
      <c r="C12" s="14"/>
      <c r="D12" s="14"/>
      <c r="E12" s="14"/>
      <c r="F12" s="14"/>
      <c r="K12">
        <v>4</v>
      </c>
      <c r="L12">
        <v>3</v>
      </c>
      <c r="M12" s="1">
        <f>+M10*3</f>
        <v>660000</v>
      </c>
      <c r="N12" s="1">
        <f t="shared" si="0"/>
        <v>99000</v>
      </c>
    </row>
    <row r="13" spans="2:14" ht="15">
      <c r="B13" s="45" t="s">
        <v>37</v>
      </c>
      <c r="C13" s="48"/>
      <c r="D13" s="48"/>
      <c r="E13" s="28">
        <f>+E7*0.15</f>
        <v>1125000</v>
      </c>
      <c r="F13" s="29">
        <f>+F7*0.15</f>
        <v>0</v>
      </c>
      <c r="K13">
        <v>4</v>
      </c>
      <c r="L13">
        <v>4</v>
      </c>
      <c r="M13" s="1">
        <f>+M10*4</f>
        <v>880000</v>
      </c>
      <c r="N13" s="1">
        <f t="shared" si="0"/>
        <v>132000</v>
      </c>
    </row>
    <row r="14" spans="2:14" ht="15">
      <c r="B14" s="41" t="s">
        <v>35</v>
      </c>
      <c r="C14" s="51"/>
      <c r="D14" s="51"/>
      <c r="E14" s="32">
        <f>+(E7-E9)*0.15</f>
        <v>479988</v>
      </c>
      <c r="F14" s="33">
        <f>+(F7-F9)*0.15</f>
        <v>0</v>
      </c>
      <c r="K14">
        <v>5</v>
      </c>
      <c r="L14">
        <v>1</v>
      </c>
      <c r="M14" s="1">
        <f>+M7*1</f>
        <v>220000</v>
      </c>
      <c r="N14" s="1">
        <f t="shared" si="0"/>
        <v>33000</v>
      </c>
    </row>
    <row r="15" spans="2:14" ht="15" thickBot="1">
      <c r="B15" s="44" t="s">
        <v>36</v>
      </c>
      <c r="C15" s="54"/>
      <c r="D15" s="54"/>
      <c r="E15" s="38">
        <f>+E13-E14</f>
        <v>645012</v>
      </c>
      <c r="F15" s="39">
        <f>+F13-F14</f>
        <v>0</v>
      </c>
      <c r="K15">
        <v>5</v>
      </c>
      <c r="L15">
        <v>2</v>
      </c>
      <c r="M15" s="1">
        <f>+M14*2</f>
        <v>440000</v>
      </c>
      <c r="N15" s="1">
        <f t="shared" si="0"/>
        <v>66000</v>
      </c>
    </row>
    <row r="16" spans="2:14" ht="9" customHeight="1" thickBot="1">
      <c r="B16" s="14"/>
      <c r="C16" s="14"/>
      <c r="D16" s="14"/>
      <c r="E16" s="14"/>
      <c r="F16" s="14"/>
      <c r="K16">
        <v>5</v>
      </c>
      <c r="L16">
        <v>3</v>
      </c>
      <c r="M16" s="1">
        <f>+M14*3</f>
        <v>660000</v>
      </c>
      <c r="N16" s="1">
        <f t="shared" si="0"/>
        <v>99000</v>
      </c>
    </row>
    <row r="17" spans="2:14" ht="15">
      <c r="B17" s="45" t="s">
        <v>23</v>
      </c>
      <c r="C17" s="47"/>
      <c r="D17" s="47"/>
      <c r="E17" s="72">
        <f>+E3</f>
        <v>7500000</v>
      </c>
      <c r="F17" s="73">
        <f>+F3</f>
        <v>0</v>
      </c>
      <c r="K17">
        <v>5</v>
      </c>
      <c r="L17">
        <v>4</v>
      </c>
      <c r="M17" s="1">
        <f>+M14*L17</f>
        <v>880000</v>
      </c>
      <c r="N17" s="1">
        <f t="shared" si="0"/>
        <v>132000</v>
      </c>
    </row>
    <row r="18" spans="2:14" ht="15">
      <c r="B18" s="41" t="s">
        <v>48</v>
      </c>
      <c r="C18" s="52"/>
      <c r="D18" s="52"/>
      <c r="E18" s="70">
        <f>IF(E20&gt;E17,E17,IF(E20=0,0,E17-E20))</f>
        <v>0</v>
      </c>
      <c r="F18" s="71">
        <f>IF(F20&gt;F17,F17,IF(F20=0,0,F17-F20))</f>
        <v>0</v>
      </c>
      <c r="K18">
        <v>5</v>
      </c>
      <c r="L18">
        <v>5</v>
      </c>
      <c r="M18" s="1">
        <f>+M14*5</f>
        <v>1100000</v>
      </c>
      <c r="N18" s="1">
        <f t="shared" si="0"/>
        <v>165000</v>
      </c>
    </row>
    <row r="19" spans="2:6" ht="15">
      <c r="B19" s="41" t="s">
        <v>39</v>
      </c>
      <c r="C19" s="52"/>
      <c r="D19" s="52"/>
      <c r="E19" s="70">
        <f>+E17-E18</f>
        <v>7500000</v>
      </c>
      <c r="F19" s="71">
        <f>+F17-F18</f>
        <v>0</v>
      </c>
    </row>
    <row r="20" spans="2:6" ht="15">
      <c r="B20" s="41" t="s">
        <v>34</v>
      </c>
      <c r="C20" s="50"/>
      <c r="D20" s="51"/>
      <c r="E20" s="70">
        <f>E10</f>
        <v>0</v>
      </c>
      <c r="F20" s="71">
        <f>F10</f>
        <v>0</v>
      </c>
    </row>
    <row r="21" spans="2:6" ht="15">
      <c r="B21" s="42" t="s">
        <v>38</v>
      </c>
      <c r="C21" s="51"/>
      <c r="D21" s="51"/>
      <c r="E21" s="30">
        <f>+E3*0.185</f>
        <v>1387500</v>
      </c>
      <c r="F21" s="40">
        <f>+F3*0.185</f>
        <v>0</v>
      </c>
    </row>
    <row r="22" spans="2:6" ht="15">
      <c r="B22" s="42" t="s">
        <v>46</v>
      </c>
      <c r="C22" s="52"/>
      <c r="D22" s="52"/>
      <c r="E22" s="32">
        <f>+E20*0.15</f>
        <v>0</v>
      </c>
      <c r="F22" s="32">
        <f>+F20*0.15</f>
        <v>0</v>
      </c>
    </row>
    <row r="23" spans="2:6" ht="15">
      <c r="B23" s="42" t="s">
        <v>47</v>
      </c>
      <c r="C23" s="68"/>
      <c r="D23" s="68"/>
      <c r="E23" s="69">
        <f>IF(E22&gt;E21,E21,IF(E22=0,0,E22))</f>
        <v>0</v>
      </c>
      <c r="F23" s="69">
        <f>IF(F22&gt;F21,F21,IF(F22=0,0,F22))</f>
        <v>0</v>
      </c>
    </row>
    <row r="24" spans="2:6" ht="15" thickBot="1">
      <c r="B24" s="46" t="s">
        <v>40</v>
      </c>
      <c r="C24" s="53"/>
      <c r="D24" s="53"/>
      <c r="E24" s="36">
        <f>+E21-E23</f>
        <v>1387500</v>
      </c>
      <c r="F24" s="37">
        <f>+F21-F23</f>
        <v>0</v>
      </c>
    </row>
    <row r="25" spans="2:6" ht="20.4" customHeight="1" thickBot="1">
      <c r="B25" s="14"/>
      <c r="C25" s="14"/>
      <c r="D25" s="14"/>
      <c r="E25" s="14"/>
      <c r="F25" s="14"/>
    </row>
    <row r="26" spans="2:6" ht="15">
      <c r="B26" s="45" t="s">
        <v>24</v>
      </c>
      <c r="C26" s="47"/>
      <c r="D26" s="47"/>
      <c r="E26" s="48"/>
      <c r="F26" s="49"/>
    </row>
    <row r="27" spans="2:6" ht="15">
      <c r="B27" s="43" t="s">
        <v>25</v>
      </c>
      <c r="C27" s="35"/>
      <c r="D27" s="35"/>
      <c r="E27" s="32">
        <f>12*449400*0.15</f>
        <v>808920</v>
      </c>
      <c r="F27" s="33">
        <f>12*449400*0.15</f>
        <v>808920</v>
      </c>
    </row>
    <row r="28" spans="2:6" ht="15" thickBot="1">
      <c r="B28" s="15" t="s">
        <v>41</v>
      </c>
      <c r="C28" s="12">
        <f>+E28+F28</f>
        <v>1387500</v>
      </c>
      <c r="D28" s="11"/>
      <c r="E28" s="12">
        <f>+IF(E21-E22&gt;0,E21-E22,0)</f>
        <v>1387500</v>
      </c>
      <c r="F28" s="16">
        <f>+IF(F21-F22&gt;0,F21-F22,0)</f>
        <v>0</v>
      </c>
    </row>
    <row r="29" spans="2:12" ht="15" thickBot="1">
      <c r="B29" s="17" t="s">
        <v>43</v>
      </c>
      <c r="C29" s="18">
        <f>+E29+F29</f>
        <v>0</v>
      </c>
      <c r="D29" s="19"/>
      <c r="E29" s="18">
        <f>IF(E15-E27&gt;0,E15-E27,0)</f>
        <v>0</v>
      </c>
      <c r="F29" s="20">
        <f>IF(F15-F27&gt;0,F15-F27,0)</f>
        <v>0</v>
      </c>
      <c r="H29" s="5"/>
      <c r="I29" s="5"/>
      <c r="J29" s="5"/>
      <c r="K29" s="5"/>
      <c r="L29" s="5"/>
    </row>
    <row r="30" spans="2:12" ht="15" thickBot="1">
      <c r="B30" s="56" t="s">
        <v>45</v>
      </c>
      <c r="C30" s="13">
        <f>+C29+C28</f>
        <v>1387500</v>
      </c>
      <c r="H30" s="5"/>
      <c r="I30" s="6"/>
      <c r="J30" s="6"/>
      <c r="K30" s="6"/>
      <c r="L30" s="4"/>
    </row>
    <row r="31" spans="8:12" ht="15" thickBot="1">
      <c r="H31" s="5"/>
      <c r="I31" s="6"/>
      <c r="J31" s="6"/>
      <c r="K31" s="6"/>
      <c r="L31" s="6"/>
    </row>
    <row r="32" spans="2:12" ht="15" thickBot="1">
      <c r="B32" t="s">
        <v>49</v>
      </c>
      <c r="H32" s="5"/>
      <c r="I32" s="6"/>
      <c r="J32" s="6"/>
      <c r="K32" s="6"/>
      <c r="L32" s="6"/>
    </row>
    <row r="33" spans="8:12" ht="15" thickBot="1">
      <c r="H33" s="5"/>
      <c r="I33" s="6"/>
      <c r="J33" s="6"/>
      <c r="K33" s="6"/>
      <c r="L33" s="6"/>
    </row>
    <row r="34" spans="8:12" ht="15" thickBot="1">
      <c r="H34" s="5"/>
      <c r="I34" s="6"/>
      <c r="J34" s="6"/>
      <c r="K34" s="6"/>
      <c r="L34" s="6"/>
    </row>
    <row r="35" spans="8:12" ht="15" thickBot="1">
      <c r="H35" s="5"/>
      <c r="I35" s="6"/>
      <c r="J35" s="6"/>
      <c r="K35" s="6"/>
      <c r="L35" s="6"/>
    </row>
    <row r="36" spans="8:12" ht="15" thickBot="1">
      <c r="H36" s="5"/>
      <c r="I36" s="6"/>
      <c r="J36" s="6"/>
      <c r="K36" s="6"/>
      <c r="L36" s="6"/>
    </row>
    <row r="37" spans="8:12" ht="15" thickBot="1">
      <c r="H37" s="5"/>
      <c r="I37" s="6"/>
      <c r="J37" s="6"/>
      <c r="K37" s="6"/>
      <c r="L37" s="6"/>
    </row>
    <row r="38" spans="8:12" ht="15" thickBot="1">
      <c r="H38" s="5"/>
      <c r="I38" s="6"/>
      <c r="J38" s="6"/>
      <c r="K38" s="6"/>
      <c r="L38" s="6"/>
    </row>
    <row r="39" spans="8:12" ht="15" thickBot="1">
      <c r="H39" s="5"/>
      <c r="I39" s="6"/>
      <c r="J39" s="6"/>
      <c r="K39" s="6"/>
      <c r="L39" s="4"/>
    </row>
    <row r="40" spans="8:12" ht="15" thickBot="1">
      <c r="H40" s="5"/>
      <c r="I40" s="4"/>
      <c r="J40" s="4"/>
      <c r="K40" s="4"/>
      <c r="L40" s="5"/>
    </row>
    <row r="41" spans="8:12" ht="15" thickBot="1">
      <c r="H41" s="5"/>
      <c r="I41" s="4"/>
      <c r="J41" s="4"/>
      <c r="K41" s="4"/>
      <c r="L41" s="5"/>
    </row>
    <row r="42" spans="8:12" ht="15" thickBot="1">
      <c r="H42" s="5"/>
      <c r="I42" s="4"/>
      <c r="J42" s="4"/>
      <c r="K42" s="4"/>
      <c r="L42" s="4"/>
    </row>
    <row r="43" spans="9:12" ht="15">
      <c r="I43" s="3"/>
      <c r="J43" s="3"/>
      <c r="K43" s="3"/>
      <c r="L43" s="3"/>
    </row>
    <row r="44" spans="9:12" ht="15">
      <c r="I44" s="7"/>
      <c r="J44" s="8"/>
      <c r="K44" s="8"/>
      <c r="L44" s="8"/>
    </row>
  </sheetData>
  <mergeCells count="3">
    <mergeCell ref="H3:H4"/>
    <mergeCell ref="I3:I4"/>
    <mergeCell ref="K1:L2"/>
  </mergeCells>
  <dataValidations count="2">
    <dataValidation type="list" allowBlank="1" showInputMessage="1" showErrorMessage="1" sqref="I6:I7">
      <formula1>Háttértábla!$B$8:$B$12</formula1>
    </dataValidation>
    <dataValidation type="list" allowBlank="1" showInputMessage="1" showErrorMessage="1" sqref="I3:I4 I10">
      <formula1>Háttértábla!$D$7:$D$19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38795-CB91-48E1-95ED-E7FFAD6D5ABF}">
  <dimension ref="A2:P46"/>
  <sheetViews>
    <sheetView zoomScale="85" zoomScaleNormal="85" zoomScaleSheetLayoutView="100" workbookViewId="0" topLeftCell="A1">
      <selection activeCell="E22" sqref="E22"/>
    </sheetView>
  </sheetViews>
  <sheetFormatPr defaultColWidth="9.140625" defaultRowHeight="15"/>
  <cols>
    <col min="1" max="1" width="0.85546875" style="0" customWidth="1"/>
    <col min="2" max="2" width="52.8515625" style="0" customWidth="1"/>
    <col min="3" max="3" width="16.28125" style="0" customWidth="1"/>
    <col min="4" max="4" width="23.57421875" style="114" customWidth="1"/>
    <col min="5" max="5" width="16.7109375" style="0" customWidth="1"/>
    <col min="6" max="6" width="16.421875" style="0" customWidth="1"/>
    <col min="7" max="7" width="4.28125" style="1" customWidth="1"/>
    <col min="8" max="8" width="48.421875" style="9" customWidth="1"/>
    <col min="9" max="9" width="14.7109375" style="2" customWidth="1"/>
    <col min="10" max="10" width="7.28125" style="0" hidden="1" customWidth="1"/>
    <col min="11" max="11" width="11.28125" style="0" hidden="1" customWidth="1"/>
    <col min="12" max="12" width="14.28125" style="0" hidden="1" customWidth="1"/>
    <col min="13" max="13" width="19.7109375" style="0" hidden="1" customWidth="1"/>
    <col min="14" max="14" width="24.7109375" style="0" hidden="1" customWidth="1"/>
    <col min="15" max="15" width="3.28125" style="0" hidden="1" customWidth="1"/>
    <col min="16" max="16" width="11.28125" style="0" customWidth="1"/>
  </cols>
  <sheetData>
    <row r="1" ht="3" customHeight="1" thickBot="1"/>
    <row r="2" spans="1:16" ht="44.4" customHeight="1" thickBot="1">
      <c r="A2" s="88"/>
      <c r="B2" s="89"/>
      <c r="C2" s="108" t="s">
        <v>26</v>
      </c>
      <c r="D2" s="106" t="s">
        <v>58</v>
      </c>
      <c r="E2" s="106" t="s">
        <v>0</v>
      </c>
      <c r="F2" s="107" t="s">
        <v>1</v>
      </c>
      <c r="G2" s="90"/>
      <c r="H2" s="89"/>
      <c r="I2" s="89"/>
      <c r="J2" s="91"/>
      <c r="K2" s="231" t="s">
        <v>10</v>
      </c>
      <c r="L2" s="231"/>
      <c r="M2" s="91" t="s">
        <v>7</v>
      </c>
      <c r="N2" s="91" t="s">
        <v>8</v>
      </c>
      <c r="O2" s="91"/>
      <c r="P2" s="92"/>
    </row>
    <row r="3" spans="1:16" ht="15">
      <c r="A3" s="93"/>
      <c r="B3" s="86" t="s">
        <v>2</v>
      </c>
      <c r="C3" s="87"/>
      <c r="D3" s="115"/>
      <c r="E3" s="112">
        <v>4500000</v>
      </c>
      <c r="F3" s="113">
        <v>7600000</v>
      </c>
      <c r="G3" s="94"/>
      <c r="H3" s="59" t="s">
        <v>16</v>
      </c>
      <c r="I3" s="109">
        <v>0</v>
      </c>
      <c r="J3" s="95"/>
      <c r="K3" s="232"/>
      <c r="L3" s="232"/>
      <c r="M3" s="96">
        <v>33335</v>
      </c>
      <c r="N3" s="96">
        <v>5000</v>
      </c>
      <c r="O3" s="95"/>
      <c r="P3" s="97"/>
    </row>
    <row r="4" spans="1:16" ht="15">
      <c r="A4" s="93"/>
      <c r="B4" s="41" t="s">
        <v>11</v>
      </c>
      <c r="C4" s="52"/>
      <c r="D4" s="116"/>
      <c r="E4" s="31">
        <f>+E3</f>
        <v>4500000</v>
      </c>
      <c r="F4" s="34">
        <f>+F3</f>
        <v>7600000</v>
      </c>
      <c r="G4" s="94"/>
      <c r="H4" s="60" t="s">
        <v>17</v>
      </c>
      <c r="I4" s="110">
        <v>0</v>
      </c>
      <c r="J4" s="95"/>
      <c r="K4" s="95" t="s">
        <v>5</v>
      </c>
      <c r="L4" s="95" t="s">
        <v>6</v>
      </c>
      <c r="M4" s="96" t="s">
        <v>7</v>
      </c>
      <c r="N4" s="96" t="s">
        <v>8</v>
      </c>
      <c r="O4" s="95"/>
      <c r="P4" s="97"/>
    </row>
    <row r="5" spans="1:16" ht="15">
      <c r="A5" s="93"/>
      <c r="B5" s="42" t="s">
        <v>14</v>
      </c>
      <c r="C5" s="55"/>
      <c r="D5" s="117"/>
      <c r="E5" s="32">
        <f>+I3</f>
        <v>0</v>
      </c>
      <c r="F5" s="33">
        <f>+I4</f>
        <v>0</v>
      </c>
      <c r="G5" s="94"/>
      <c r="H5" s="228" t="s">
        <v>9</v>
      </c>
      <c r="I5" s="233">
        <v>0</v>
      </c>
      <c r="J5" s="95"/>
      <c r="K5" s="95">
        <v>1</v>
      </c>
      <c r="L5" s="95">
        <v>1</v>
      </c>
      <c r="M5" s="96">
        <v>66670</v>
      </c>
      <c r="N5" s="96">
        <f>+M5*0.15</f>
        <v>10000.5</v>
      </c>
      <c r="O5" s="95"/>
      <c r="P5" s="97"/>
    </row>
    <row r="6" spans="1:16" ht="15">
      <c r="A6" s="93"/>
      <c r="B6" s="41" t="s">
        <v>15</v>
      </c>
      <c r="C6" s="52"/>
      <c r="D6" s="116"/>
      <c r="E6" s="31">
        <f>+E4-E5</f>
        <v>4500000</v>
      </c>
      <c r="F6" s="34">
        <f>+F4-F5</f>
        <v>7600000</v>
      </c>
      <c r="G6" s="94"/>
      <c r="H6" s="228"/>
      <c r="I6" s="233"/>
      <c r="J6" s="95"/>
      <c r="K6" s="95">
        <v>2</v>
      </c>
      <c r="L6" s="95">
        <v>1</v>
      </c>
      <c r="M6" s="96">
        <v>133330</v>
      </c>
      <c r="N6" s="96">
        <f aca="true" t="shared" si="0" ref="N6:N19">+M6*0.15</f>
        <v>19999.5</v>
      </c>
      <c r="O6" s="95"/>
      <c r="P6" s="97"/>
    </row>
    <row r="7" spans="1:16" ht="15">
      <c r="A7" s="93"/>
      <c r="B7" s="43" t="s">
        <v>12</v>
      </c>
      <c r="C7" s="30">
        <f>+I7</f>
        <v>0</v>
      </c>
      <c r="D7" s="118">
        <v>0</v>
      </c>
      <c r="E7" s="32">
        <f>+C7*D7</f>
        <v>0</v>
      </c>
      <c r="F7" s="33">
        <f>+C7-E7</f>
        <v>0</v>
      </c>
      <c r="G7" s="94"/>
      <c r="H7" s="25" t="s">
        <v>27</v>
      </c>
      <c r="I7" s="23">
        <f>IF(I5&gt;0,I5*M3,0)</f>
        <v>0</v>
      </c>
      <c r="J7" s="95"/>
      <c r="K7" s="95">
        <v>2</v>
      </c>
      <c r="L7" s="95">
        <v>2</v>
      </c>
      <c r="M7" s="96">
        <f>+M6*2</f>
        <v>266660</v>
      </c>
      <c r="N7" s="96">
        <f t="shared" si="0"/>
        <v>39999</v>
      </c>
      <c r="O7" s="95"/>
      <c r="P7" s="97"/>
    </row>
    <row r="8" spans="1:16" ht="15">
      <c r="A8" s="93"/>
      <c r="B8" s="42" t="s">
        <v>54</v>
      </c>
      <c r="C8" s="52"/>
      <c r="D8" s="116"/>
      <c r="E8" s="132">
        <f>+E6-E7</f>
        <v>4500000</v>
      </c>
      <c r="F8" s="133">
        <f>+F6-F7</f>
        <v>7600000</v>
      </c>
      <c r="G8" s="94"/>
      <c r="H8" s="61" t="s">
        <v>3</v>
      </c>
      <c r="I8" s="111">
        <v>2</v>
      </c>
      <c r="J8" s="95"/>
      <c r="K8" s="95">
        <v>3</v>
      </c>
      <c r="L8" s="95">
        <v>1</v>
      </c>
      <c r="M8" s="96">
        <v>220000</v>
      </c>
      <c r="N8" s="96">
        <f t="shared" si="0"/>
        <v>33000</v>
      </c>
      <c r="O8" s="95"/>
      <c r="P8" s="97"/>
    </row>
    <row r="9" spans="1:16" ht="15">
      <c r="A9" s="93"/>
      <c r="B9" s="41" t="s">
        <v>44</v>
      </c>
      <c r="C9" s="70">
        <f>+I13</f>
        <v>3199920</v>
      </c>
      <c r="D9" s="119">
        <v>0.5</v>
      </c>
      <c r="E9" s="31">
        <f>+C9*D9</f>
        <v>1599960</v>
      </c>
      <c r="F9" s="34">
        <f>+C9-E9</f>
        <v>1599960</v>
      </c>
      <c r="G9" s="94"/>
      <c r="H9" s="61" t="s">
        <v>4</v>
      </c>
      <c r="I9" s="111">
        <v>2</v>
      </c>
      <c r="J9" s="95"/>
      <c r="K9" s="95">
        <v>3</v>
      </c>
      <c r="L9" s="95">
        <v>2</v>
      </c>
      <c r="M9" s="96">
        <f>+M8*2</f>
        <v>440000</v>
      </c>
      <c r="N9" s="96">
        <f t="shared" si="0"/>
        <v>66000</v>
      </c>
      <c r="O9" s="95"/>
      <c r="P9" s="97"/>
    </row>
    <row r="10" spans="1:16" ht="15">
      <c r="A10" s="93"/>
      <c r="B10" s="41" t="s">
        <v>13</v>
      </c>
      <c r="C10" s="52"/>
      <c r="D10" s="116"/>
      <c r="E10" s="31">
        <f>+IF(E8-E9&lt;0,0,E8-E9)</f>
        <v>2900040</v>
      </c>
      <c r="F10" s="34">
        <f>+IF(F8-F9&lt;0,0,F8-F9)</f>
        <v>6000040</v>
      </c>
      <c r="G10" s="94"/>
      <c r="H10" s="26" t="s">
        <v>22</v>
      </c>
      <c r="I10" s="23">
        <f>IF(I8=1,M5,IF(I8=2,M6,IF(I8=3,M8,IF(I8=4,M8,IF(I8=5,M8)))))</f>
        <v>133330</v>
      </c>
      <c r="J10" s="95"/>
      <c r="K10" s="95">
        <v>3</v>
      </c>
      <c r="L10" s="95">
        <v>3</v>
      </c>
      <c r="M10" s="96">
        <f>+M8*3</f>
        <v>660000</v>
      </c>
      <c r="N10" s="96">
        <f t="shared" si="0"/>
        <v>99000</v>
      </c>
      <c r="O10" s="95"/>
      <c r="P10" s="97"/>
    </row>
    <row r="11" spans="1:16" ht="15">
      <c r="A11" s="93"/>
      <c r="B11" s="43" t="s">
        <v>32</v>
      </c>
      <c r="C11" s="51"/>
      <c r="D11" s="50"/>
      <c r="E11" s="32">
        <f>IF(E8-E9&lt;0,(E8-E9)*-1,0)</f>
        <v>0</v>
      </c>
      <c r="F11" s="33">
        <f>IF(F8-F9&lt;0,(F8-F9)*-1,0)</f>
        <v>0</v>
      </c>
      <c r="G11" s="98"/>
      <c r="H11" s="26" t="s">
        <v>21</v>
      </c>
      <c r="I11" s="23">
        <f>IF(I9=1,I10,IF(I9=2,I10*2,IF(I9=3,I10*3,IF(I9=4,I10*4,IF(I9=5,I10*5)))))</f>
        <v>266660</v>
      </c>
      <c r="J11" s="95"/>
      <c r="K11" s="95">
        <v>4</v>
      </c>
      <c r="L11" s="95">
        <v>1</v>
      </c>
      <c r="M11" s="96">
        <f>+M8*1</f>
        <v>220000</v>
      </c>
      <c r="N11" s="96">
        <f t="shared" si="0"/>
        <v>33000</v>
      </c>
      <c r="O11" s="95"/>
      <c r="P11" s="97"/>
    </row>
    <row r="12" spans="1:16" ht="15" thickBot="1">
      <c r="A12" s="93"/>
      <c r="B12" s="44" t="s">
        <v>33</v>
      </c>
      <c r="C12" s="53"/>
      <c r="D12" s="120"/>
      <c r="E12" s="75">
        <f>IF(E9&gt;E8,E8,E9)</f>
        <v>1599960</v>
      </c>
      <c r="F12" s="76">
        <f>IF(F9&gt;F8,F8,F9)</f>
        <v>1599960</v>
      </c>
      <c r="G12" s="94"/>
      <c r="H12" s="60" t="s">
        <v>42</v>
      </c>
      <c r="I12" s="111">
        <v>12</v>
      </c>
      <c r="J12" s="95"/>
      <c r="K12" s="95">
        <v>4</v>
      </c>
      <c r="L12" s="95">
        <v>2</v>
      </c>
      <c r="M12" s="96">
        <f>+M11*2</f>
        <v>440000</v>
      </c>
      <c r="N12" s="96">
        <f t="shared" si="0"/>
        <v>66000</v>
      </c>
      <c r="O12" s="95"/>
      <c r="P12" s="97"/>
    </row>
    <row r="13" spans="1:16" ht="17.4" customHeight="1" thickBot="1">
      <c r="A13" s="93"/>
      <c r="B13" s="84"/>
      <c r="C13" s="84"/>
      <c r="D13" s="121"/>
      <c r="E13" s="84"/>
      <c r="F13" s="84"/>
      <c r="G13" s="94"/>
      <c r="H13" s="27" t="s">
        <v>31</v>
      </c>
      <c r="I13" s="24">
        <f>+I11*I12</f>
        <v>3199920</v>
      </c>
      <c r="J13" s="95"/>
      <c r="K13" s="95">
        <v>4</v>
      </c>
      <c r="L13" s="95">
        <v>3</v>
      </c>
      <c r="M13" s="96">
        <f>+M11*3</f>
        <v>660000</v>
      </c>
      <c r="N13" s="96">
        <f t="shared" si="0"/>
        <v>99000</v>
      </c>
      <c r="O13" s="95"/>
      <c r="P13" s="97"/>
    </row>
    <row r="14" spans="1:16" ht="15" thickBot="1">
      <c r="A14" s="93"/>
      <c r="B14" s="45" t="s">
        <v>37</v>
      </c>
      <c r="C14" s="48"/>
      <c r="D14" s="122"/>
      <c r="E14" s="28">
        <f>+E8*0.15</f>
        <v>675000</v>
      </c>
      <c r="F14" s="29">
        <f>+F8*0.15</f>
        <v>1140000</v>
      </c>
      <c r="G14" s="94"/>
      <c r="H14" s="99"/>
      <c r="I14" s="100"/>
      <c r="J14" s="95"/>
      <c r="K14" s="95">
        <v>4</v>
      </c>
      <c r="L14" s="95">
        <v>4</v>
      </c>
      <c r="M14" s="96">
        <f>+M11*4</f>
        <v>880000</v>
      </c>
      <c r="N14" s="96">
        <f t="shared" si="0"/>
        <v>132000</v>
      </c>
      <c r="O14" s="95"/>
      <c r="P14" s="97"/>
    </row>
    <row r="15" spans="1:16" ht="15" thickBot="1">
      <c r="A15" s="93"/>
      <c r="B15" s="41" t="s">
        <v>35</v>
      </c>
      <c r="C15" s="51"/>
      <c r="D15" s="50"/>
      <c r="E15" s="32">
        <f>+(E8-E10)*0.15</f>
        <v>239994</v>
      </c>
      <c r="F15" s="33">
        <f>+(F8-F10)*0.15</f>
        <v>239994</v>
      </c>
      <c r="G15" s="94"/>
      <c r="H15" s="239" t="s">
        <v>56</v>
      </c>
      <c r="I15" s="240"/>
      <c r="J15" s="95"/>
      <c r="K15" s="95">
        <v>5</v>
      </c>
      <c r="L15" s="95">
        <v>1</v>
      </c>
      <c r="M15" s="96">
        <f>+M8*1</f>
        <v>220000</v>
      </c>
      <c r="N15" s="96">
        <f t="shared" si="0"/>
        <v>33000</v>
      </c>
      <c r="O15" s="95"/>
      <c r="P15" s="97"/>
    </row>
    <row r="16" spans="1:16" ht="15" thickBot="1">
      <c r="A16" s="93"/>
      <c r="B16" s="44" t="s">
        <v>36</v>
      </c>
      <c r="C16" s="54"/>
      <c r="D16" s="123"/>
      <c r="E16" s="38">
        <f>+E14-E15</f>
        <v>435006</v>
      </c>
      <c r="F16" s="39">
        <f>+F14-F15</f>
        <v>900006</v>
      </c>
      <c r="G16" s="94"/>
      <c r="H16" s="99"/>
      <c r="I16" s="100"/>
      <c r="J16" s="95"/>
      <c r="K16" s="95">
        <v>5</v>
      </c>
      <c r="L16" s="95">
        <v>2</v>
      </c>
      <c r="M16" s="96">
        <f>+M15*2</f>
        <v>440000</v>
      </c>
      <c r="N16" s="96">
        <f t="shared" si="0"/>
        <v>66000</v>
      </c>
      <c r="O16" s="95"/>
      <c r="P16" s="97"/>
    </row>
    <row r="17" spans="1:16" ht="9" customHeight="1" thickBot="1">
      <c r="A17" s="93"/>
      <c r="B17" s="84"/>
      <c r="C17" s="84"/>
      <c r="D17" s="121"/>
      <c r="E17" s="84"/>
      <c r="F17" s="84"/>
      <c r="G17" s="94"/>
      <c r="H17" s="99"/>
      <c r="I17" s="100"/>
      <c r="J17" s="95"/>
      <c r="K17" s="95">
        <v>5</v>
      </c>
      <c r="L17" s="95">
        <v>3</v>
      </c>
      <c r="M17" s="96">
        <f>+M15*3</f>
        <v>660000</v>
      </c>
      <c r="N17" s="96">
        <f t="shared" si="0"/>
        <v>99000</v>
      </c>
      <c r="O17" s="95"/>
      <c r="P17" s="97"/>
    </row>
    <row r="18" spans="1:16" ht="15">
      <c r="A18" s="93"/>
      <c r="B18" s="45" t="s">
        <v>23</v>
      </c>
      <c r="C18" s="47"/>
      <c r="D18" s="124"/>
      <c r="E18" s="72">
        <f>+E4</f>
        <v>4500000</v>
      </c>
      <c r="F18" s="73">
        <f>+F4</f>
        <v>7600000</v>
      </c>
      <c r="G18" s="94"/>
      <c r="H18" s="99"/>
      <c r="I18" s="100"/>
      <c r="J18" s="95"/>
      <c r="K18" s="95">
        <v>5</v>
      </c>
      <c r="L18" s="95">
        <v>4</v>
      </c>
      <c r="M18" s="96">
        <f>+M15*L18</f>
        <v>880000</v>
      </c>
      <c r="N18" s="96">
        <f t="shared" si="0"/>
        <v>132000</v>
      </c>
      <c r="O18" s="95"/>
      <c r="P18" s="97"/>
    </row>
    <row r="19" spans="1:16" ht="15">
      <c r="A19" s="93"/>
      <c r="B19" s="42" t="s">
        <v>48</v>
      </c>
      <c r="C19" s="52"/>
      <c r="D19" s="116"/>
      <c r="E19" s="136">
        <f>IF(E21&gt;E18,E18,IF(E21=0,0,E18-E21))</f>
        <v>0</v>
      </c>
      <c r="F19" s="137">
        <f>IF(F21&gt;F18,F18,IF(F21=0,0,F18-F21))</f>
        <v>0</v>
      </c>
      <c r="G19" s="94"/>
      <c r="H19" s="99"/>
      <c r="I19" s="100"/>
      <c r="J19" s="95"/>
      <c r="K19" s="95">
        <v>5</v>
      </c>
      <c r="L19" s="95">
        <v>5</v>
      </c>
      <c r="M19" s="96">
        <f>+M15*5</f>
        <v>1100000</v>
      </c>
      <c r="N19" s="96">
        <f t="shared" si="0"/>
        <v>165000</v>
      </c>
      <c r="O19" s="95"/>
      <c r="P19" s="97"/>
    </row>
    <row r="20" spans="1:16" ht="15">
      <c r="A20" s="93"/>
      <c r="B20" s="41" t="s">
        <v>39</v>
      </c>
      <c r="C20" s="52"/>
      <c r="D20" s="116"/>
      <c r="E20" s="70">
        <f>+E18-E19</f>
        <v>4500000</v>
      </c>
      <c r="F20" s="71">
        <f>+F18-F19</f>
        <v>7600000</v>
      </c>
      <c r="G20" s="94"/>
      <c r="H20" s="99"/>
      <c r="I20" s="100"/>
      <c r="J20" s="95"/>
      <c r="K20" s="95"/>
      <c r="L20" s="95"/>
      <c r="M20" s="95"/>
      <c r="N20" s="95"/>
      <c r="O20" s="95"/>
      <c r="P20" s="97"/>
    </row>
    <row r="21" spans="1:16" ht="15">
      <c r="A21" s="93"/>
      <c r="B21" s="41" t="s">
        <v>34</v>
      </c>
      <c r="C21" s="50"/>
      <c r="D21" s="50"/>
      <c r="E21" s="70">
        <f>E11</f>
        <v>0</v>
      </c>
      <c r="F21" s="71">
        <f>F11</f>
        <v>0</v>
      </c>
      <c r="G21" s="94"/>
      <c r="H21" s="99"/>
      <c r="I21" s="100"/>
      <c r="J21" s="95"/>
      <c r="K21" s="95"/>
      <c r="L21" s="95"/>
      <c r="M21" s="95"/>
      <c r="N21" s="95"/>
      <c r="O21" s="95"/>
      <c r="P21" s="97"/>
    </row>
    <row r="22" spans="1:16" ht="15">
      <c r="A22" s="93"/>
      <c r="B22" s="42" t="s">
        <v>38</v>
      </c>
      <c r="C22" s="51"/>
      <c r="D22" s="50"/>
      <c r="E22" s="30">
        <f>+E4*0.185</f>
        <v>832500</v>
      </c>
      <c r="F22" s="40">
        <f>+F4*0.185</f>
        <v>1406000</v>
      </c>
      <c r="G22" s="94"/>
      <c r="H22" s="99"/>
      <c r="I22" s="100"/>
      <c r="J22" s="95"/>
      <c r="K22" s="95"/>
      <c r="L22" s="95"/>
      <c r="M22" s="95"/>
      <c r="N22" s="95"/>
      <c r="O22" s="95"/>
      <c r="P22" s="97"/>
    </row>
    <row r="23" spans="1:16" ht="15">
      <c r="A23" s="93"/>
      <c r="B23" s="42" t="s">
        <v>46</v>
      </c>
      <c r="C23" s="52"/>
      <c r="D23" s="116"/>
      <c r="E23" s="32">
        <f>+E21*0.15</f>
        <v>0</v>
      </c>
      <c r="F23" s="33">
        <f>+F21*0.15</f>
        <v>0</v>
      </c>
      <c r="G23" s="94"/>
      <c r="H23" s="99"/>
      <c r="I23" s="100"/>
      <c r="J23" s="95"/>
      <c r="K23" s="95"/>
      <c r="L23" s="95"/>
      <c r="M23" s="95"/>
      <c r="N23" s="95"/>
      <c r="O23" s="95"/>
      <c r="P23" s="97"/>
    </row>
    <row r="24" spans="1:16" ht="15">
      <c r="A24" s="93"/>
      <c r="B24" s="42" t="s">
        <v>47</v>
      </c>
      <c r="C24" s="68"/>
      <c r="D24" s="125"/>
      <c r="E24" s="69">
        <f>IF(E23&gt;E22,E22,IF(E23=0,0,E23))</f>
        <v>0</v>
      </c>
      <c r="F24" s="135">
        <f>IF(F23&gt;F22,F22,IF(F23=0,0,F23))</f>
        <v>0</v>
      </c>
      <c r="G24" s="94"/>
      <c r="H24" s="99"/>
      <c r="I24" s="100"/>
      <c r="J24" s="95"/>
      <c r="K24" s="95"/>
      <c r="L24" s="95"/>
      <c r="M24" s="95"/>
      <c r="N24" s="95"/>
      <c r="O24" s="95"/>
      <c r="P24" s="97"/>
    </row>
    <row r="25" spans="1:16" ht="15" thickBot="1">
      <c r="A25" s="93"/>
      <c r="B25" s="44" t="s">
        <v>50</v>
      </c>
      <c r="C25" s="53"/>
      <c r="D25" s="120"/>
      <c r="E25" s="75">
        <f>+E22-E24</f>
        <v>832500</v>
      </c>
      <c r="F25" s="76">
        <f>+F22-F24</f>
        <v>1406000</v>
      </c>
      <c r="G25" s="94"/>
      <c r="H25" s="99"/>
      <c r="I25" s="100"/>
      <c r="J25" s="99"/>
      <c r="K25" s="99"/>
      <c r="L25" s="99"/>
      <c r="M25" s="99"/>
      <c r="N25" s="99"/>
      <c r="O25" s="99"/>
      <c r="P25" s="97"/>
    </row>
    <row r="26" spans="1:16" ht="7.2" customHeight="1" thickBot="1">
      <c r="A26" s="93"/>
      <c r="B26" s="85"/>
      <c r="C26" s="85"/>
      <c r="D26" s="126"/>
      <c r="E26" s="85"/>
      <c r="F26" s="85"/>
      <c r="G26" s="94"/>
      <c r="H26" s="99"/>
      <c r="I26" s="99"/>
      <c r="J26" s="99"/>
      <c r="K26" s="99"/>
      <c r="L26" s="99"/>
      <c r="M26" s="99"/>
      <c r="N26" s="99"/>
      <c r="O26" s="99"/>
      <c r="P26" s="97"/>
    </row>
    <row r="27" spans="1:16" ht="15">
      <c r="A27" s="93"/>
      <c r="B27" s="134" t="s">
        <v>59</v>
      </c>
      <c r="C27" s="48"/>
      <c r="D27" s="122"/>
      <c r="E27" s="28">
        <f>12*449400*0.15</f>
        <v>808920</v>
      </c>
      <c r="F27" s="29">
        <f>12*449400*0.15</f>
        <v>808920</v>
      </c>
      <c r="G27" s="94"/>
      <c r="H27" s="99"/>
      <c r="I27" s="99"/>
      <c r="J27" s="99"/>
      <c r="K27" s="99"/>
      <c r="L27" s="99"/>
      <c r="M27" s="99"/>
      <c r="N27" s="99"/>
      <c r="O27" s="99"/>
      <c r="P27" s="97"/>
    </row>
    <row r="28" spans="1:16" ht="15" thickBot="1">
      <c r="A28" s="93"/>
      <c r="B28" s="83" t="s">
        <v>53</v>
      </c>
      <c r="C28" s="54"/>
      <c r="D28" s="123"/>
      <c r="E28" s="36">
        <f>+E16-E30</f>
        <v>435006</v>
      </c>
      <c r="F28" s="37">
        <f>+F16-F30</f>
        <v>808920</v>
      </c>
      <c r="G28" s="94"/>
      <c r="H28" s="99"/>
      <c r="I28" s="99"/>
      <c r="J28" s="99"/>
      <c r="K28" s="99"/>
      <c r="L28" s="99"/>
      <c r="M28" s="99"/>
      <c r="N28" s="99"/>
      <c r="O28" s="99"/>
      <c r="P28" s="97"/>
    </row>
    <row r="29" spans="1:16" ht="15.6">
      <c r="A29" s="93"/>
      <c r="B29" s="80" t="s">
        <v>55</v>
      </c>
      <c r="C29" s="81">
        <f>+E29+F29</f>
        <v>2238500</v>
      </c>
      <c r="D29" s="127"/>
      <c r="E29" s="81">
        <f>+IF(E22-E23&gt;0,E22-E23,0)</f>
        <v>832500</v>
      </c>
      <c r="F29" s="82">
        <f>+IF(F22-F23&gt;0,F22-F23,0)</f>
        <v>1406000</v>
      </c>
      <c r="G29" s="94"/>
      <c r="H29" s="99"/>
      <c r="I29" s="99"/>
      <c r="J29" s="99"/>
      <c r="K29" s="99"/>
      <c r="L29" s="99"/>
      <c r="M29" s="99"/>
      <c r="N29" s="99"/>
      <c r="O29" s="99"/>
      <c r="P29" s="97"/>
    </row>
    <row r="30" spans="1:16" ht="16.2" thickBot="1">
      <c r="A30" s="93"/>
      <c r="B30" s="77" t="s">
        <v>51</v>
      </c>
      <c r="C30" s="78">
        <f>+E30+F30</f>
        <v>91086</v>
      </c>
      <c r="D30" s="128"/>
      <c r="E30" s="78">
        <f>IF(E16-E27&gt;0,E16-E27,0)</f>
        <v>0</v>
      </c>
      <c r="F30" s="79">
        <f>IF(F16-F27&gt;0,F16-F27,0)</f>
        <v>91086</v>
      </c>
      <c r="G30" s="94"/>
      <c r="H30" s="99"/>
      <c r="I30" s="99"/>
      <c r="J30" s="99"/>
      <c r="K30" s="99"/>
      <c r="L30" s="99"/>
      <c r="M30" s="99"/>
      <c r="N30" s="99"/>
      <c r="O30" s="99"/>
      <c r="P30" s="97"/>
    </row>
    <row r="31" spans="1:16" ht="15">
      <c r="A31" s="93"/>
      <c r="B31" s="74" t="s">
        <v>52</v>
      </c>
      <c r="C31" s="234">
        <f>+C30+C29</f>
        <v>2329586</v>
      </c>
      <c r="D31" s="129"/>
      <c r="E31" s="101"/>
      <c r="F31" s="101"/>
      <c r="G31" s="94"/>
      <c r="H31" s="99"/>
      <c r="I31" s="99"/>
      <c r="J31" s="99"/>
      <c r="K31" s="99"/>
      <c r="L31" s="99"/>
      <c r="M31" s="99"/>
      <c r="N31" s="99"/>
      <c r="O31" s="99"/>
      <c r="P31" s="97"/>
    </row>
    <row r="32" spans="1:16" ht="15">
      <c r="A32" s="93"/>
      <c r="B32" s="237" t="s">
        <v>57</v>
      </c>
      <c r="C32" s="235"/>
      <c r="D32" s="129"/>
      <c r="E32" s="101"/>
      <c r="F32" s="101"/>
      <c r="G32" s="94"/>
      <c r="H32" s="99"/>
      <c r="I32" s="99"/>
      <c r="J32" s="99"/>
      <c r="K32" s="99"/>
      <c r="L32" s="99"/>
      <c r="M32" s="99"/>
      <c r="N32" s="99"/>
      <c r="O32" s="99"/>
      <c r="P32" s="97"/>
    </row>
    <row r="33" spans="1:16" ht="15">
      <c r="A33" s="93"/>
      <c r="B33" s="237"/>
      <c r="C33" s="235"/>
      <c r="D33" s="12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7"/>
    </row>
    <row r="34" spans="1:16" ht="15" thickBot="1">
      <c r="A34" s="93"/>
      <c r="B34" s="238"/>
      <c r="C34" s="236"/>
      <c r="D34" s="12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7"/>
    </row>
    <row r="35" spans="1:16" ht="15">
      <c r="A35" s="93"/>
      <c r="B35" s="99"/>
      <c r="C35" s="99"/>
      <c r="D35" s="130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7"/>
    </row>
    <row r="36" spans="1:16" ht="15">
      <c r="A36" s="102"/>
      <c r="B36" s="99"/>
      <c r="C36" s="99"/>
      <c r="D36" s="130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7"/>
    </row>
    <row r="37" spans="1:16" ht="15">
      <c r="A37" s="102"/>
      <c r="B37" s="99"/>
      <c r="C37" s="99"/>
      <c r="D37" s="130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7"/>
    </row>
    <row r="38" spans="1:16" ht="15">
      <c r="A38" s="102"/>
      <c r="B38" s="99"/>
      <c r="C38" s="99"/>
      <c r="D38" s="130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7"/>
    </row>
    <row r="39" spans="1:16" ht="15" thickBot="1">
      <c r="A39" s="103"/>
      <c r="B39" s="104"/>
      <c r="C39" s="104"/>
      <c r="D39" s="131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5"/>
    </row>
    <row r="40" spans="8:16" ht="15" thickBot="1">
      <c r="H40" s="5"/>
      <c r="I40" s="5"/>
      <c r="J40" s="5"/>
      <c r="K40" s="5"/>
      <c r="L40" s="5"/>
      <c r="M40" s="5"/>
      <c r="N40" s="5"/>
      <c r="O40" s="5"/>
      <c r="P40" s="5"/>
    </row>
    <row r="41" spans="8:12" ht="15" thickBot="1">
      <c r="H41" s="5"/>
      <c r="I41" s="6"/>
      <c r="J41" s="4"/>
      <c r="K41" s="4"/>
      <c r="L41" s="5"/>
    </row>
    <row r="42" spans="8:12" ht="15" thickBot="1">
      <c r="H42" s="5"/>
      <c r="I42" s="4"/>
      <c r="J42" s="4"/>
      <c r="K42" s="4"/>
      <c r="L42" s="5"/>
    </row>
    <row r="43" spans="8:12" ht="15" thickBot="1">
      <c r="H43" s="5"/>
      <c r="I43" s="4"/>
      <c r="J43" s="4"/>
      <c r="K43" s="4"/>
      <c r="L43" s="4"/>
    </row>
    <row r="44" spans="8:12" ht="15" thickBot="1">
      <c r="H44" s="5"/>
      <c r="I44" s="4"/>
      <c r="J44" s="3"/>
      <c r="K44" s="3"/>
      <c r="L44" s="3"/>
    </row>
    <row r="45" spans="9:12" ht="15">
      <c r="I45" s="3"/>
      <c r="J45" s="8"/>
      <c r="K45" s="8"/>
      <c r="L45" s="8"/>
    </row>
    <row r="46" ht="15">
      <c r="I46" s="7"/>
    </row>
  </sheetData>
  <mergeCells count="6">
    <mergeCell ref="K2:L3"/>
    <mergeCell ref="H5:H6"/>
    <mergeCell ref="I5:I6"/>
    <mergeCell ref="C31:C34"/>
    <mergeCell ref="B32:B34"/>
    <mergeCell ref="H15:I15"/>
  </mergeCells>
  <dataValidations count="3">
    <dataValidation type="whole" allowBlank="1" showInputMessage="1" showErrorMessage="1" sqref="I3:I4">
      <formula1>0</formula1>
      <formula2>55800</formula2>
    </dataValidation>
    <dataValidation type="list" allowBlank="1" showInputMessage="1" showErrorMessage="1" sqref="I8:I9">
      <formula1>Háttértábla!$B$8:$B$12</formula1>
    </dataValidation>
    <dataValidation type="list" allowBlank="1" showInputMessage="1" showErrorMessage="1" sqref="I5:I6 I12">
      <formula1>Háttértábla!$D$7:$D$19</formula1>
    </dataValidation>
  </dataValidations>
  <printOptions/>
  <pageMargins left="0.7" right="0.7" top="0.75" bottom="0.75" header="0.3" footer="0.3"/>
  <pageSetup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10256-AEAA-4C0D-B016-91DC1FA4A93F}">
  <dimension ref="A1:S50"/>
  <sheetViews>
    <sheetView tabSelected="1" zoomScale="70" zoomScaleNormal="70" zoomScaleSheetLayoutView="100" workbookViewId="0" topLeftCell="A1">
      <selection activeCell="Y21" sqref="Y21"/>
    </sheetView>
  </sheetViews>
  <sheetFormatPr defaultColWidth="9.140625" defaultRowHeight="15"/>
  <cols>
    <col min="1" max="1" width="0.5625" style="138" customWidth="1"/>
    <col min="2" max="2" width="7.28125" style="138" customWidth="1"/>
    <col min="3" max="3" width="73.00390625" style="0" customWidth="1"/>
    <col min="4" max="4" width="14.8515625" style="0" customWidth="1"/>
    <col min="5" max="5" width="16.7109375" style="0" customWidth="1"/>
    <col min="6" max="6" width="28.28125" style="0" customWidth="1"/>
    <col min="7" max="7" width="4.28125" style="1" hidden="1" customWidth="1"/>
    <col min="8" max="8" width="7.28125" style="0" hidden="1" customWidth="1"/>
    <col min="9" max="9" width="11.28125" style="0" hidden="1" customWidth="1"/>
    <col min="10" max="10" width="14.28125" style="0" hidden="1" customWidth="1"/>
    <col min="11" max="11" width="19.7109375" style="0" hidden="1" customWidth="1"/>
    <col min="12" max="12" width="24.7109375" style="0" hidden="1" customWidth="1"/>
    <col min="13" max="13" width="11.57421875" style="0" hidden="1" customWidth="1"/>
    <col min="14" max="14" width="11.28125" style="0" hidden="1" customWidth="1"/>
    <col min="15" max="16" width="8.8515625" style="0" hidden="1" customWidth="1"/>
    <col min="17" max="17" width="9.140625" style="0" hidden="1" customWidth="1"/>
    <col min="18" max="18" width="8.8515625" style="0" hidden="1" customWidth="1"/>
    <col min="19" max="19" width="3.140625" style="0" customWidth="1"/>
  </cols>
  <sheetData>
    <row r="1" spans="1:19" ht="13.2" customHeight="1" thickBot="1">
      <c r="A1" s="101"/>
      <c r="B1" s="88"/>
      <c r="C1" s="141"/>
      <c r="D1" s="141"/>
      <c r="E1" s="141"/>
      <c r="F1" s="141"/>
      <c r="G1" s="90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55"/>
    </row>
    <row r="2" spans="1:19" ht="24" customHeight="1">
      <c r="A2" s="101"/>
      <c r="B2" s="93"/>
      <c r="C2" s="246" t="s">
        <v>69</v>
      </c>
      <c r="D2" s="247"/>
      <c r="E2" s="248"/>
      <c r="F2" s="101"/>
      <c r="G2" s="94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56"/>
    </row>
    <row r="3" spans="1:19" ht="22.8" customHeight="1">
      <c r="A3" s="101"/>
      <c r="B3" s="93"/>
      <c r="C3" s="241" t="s">
        <v>70</v>
      </c>
      <c r="D3" s="242"/>
      <c r="E3" s="221">
        <v>5000000</v>
      </c>
      <c r="F3" s="101"/>
      <c r="G3" s="94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56"/>
    </row>
    <row r="4" spans="1:19" ht="26.4" customHeight="1">
      <c r="A4" s="101"/>
      <c r="B4" s="93"/>
      <c r="C4" s="249" t="s">
        <v>71</v>
      </c>
      <c r="D4" s="250"/>
      <c r="E4" s="222">
        <v>6000000</v>
      </c>
      <c r="F4" s="101"/>
      <c r="G4" s="94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56"/>
    </row>
    <row r="5" spans="1:19" ht="24.6" customHeight="1">
      <c r="A5" s="101"/>
      <c r="B5" s="93"/>
      <c r="C5" s="249" t="s">
        <v>60</v>
      </c>
      <c r="D5" s="250"/>
      <c r="E5" s="223">
        <v>1</v>
      </c>
      <c r="F5" s="101"/>
      <c r="G5" s="94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56"/>
    </row>
    <row r="6" spans="1:19" ht="25.8" customHeight="1" hidden="1">
      <c r="A6" s="101"/>
      <c r="B6" s="93"/>
      <c r="C6" s="61" t="s">
        <v>4</v>
      </c>
      <c r="D6" s="140"/>
      <c r="E6" s="224">
        <f>E5</f>
        <v>1</v>
      </c>
      <c r="F6" s="101"/>
      <c r="G6" s="94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56"/>
    </row>
    <row r="7" spans="1:19" ht="25.8" customHeight="1" hidden="1">
      <c r="A7" s="101"/>
      <c r="B7" s="93"/>
      <c r="C7" s="26" t="s">
        <v>22</v>
      </c>
      <c r="D7" s="140"/>
      <c r="E7" s="225">
        <f>IF(E5=1,J15,IF(E5=2,J16,IF(E5=3,J18,IF(E5=4,J18,IF(E5=5,J18)))))</f>
        <v>66670</v>
      </c>
      <c r="F7" s="101"/>
      <c r="G7" s="94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56"/>
    </row>
    <row r="8" spans="1:19" ht="18.6" customHeight="1" hidden="1">
      <c r="A8" s="101"/>
      <c r="B8" s="93"/>
      <c r="C8" s="26" t="s">
        <v>21</v>
      </c>
      <c r="D8" s="140"/>
      <c r="E8" s="225">
        <f>IF(E6=1,E7,IF(E6=2,E7*2,IF(E6=3,E7*3,IF(E6=4,E7*4,IF(E6=5,E7*5)))))</f>
        <v>66670</v>
      </c>
      <c r="F8" s="101"/>
      <c r="G8" s="94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56"/>
    </row>
    <row r="9" spans="1:19" ht="18.6" customHeight="1" hidden="1">
      <c r="A9" s="101"/>
      <c r="B9" s="93"/>
      <c r="C9" s="251" t="s">
        <v>63</v>
      </c>
      <c r="D9" s="252"/>
      <c r="E9" s="226">
        <f>+E8*12</f>
        <v>800040</v>
      </c>
      <c r="F9" s="101"/>
      <c r="G9" s="94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56"/>
    </row>
    <row r="10" spans="1:19" s="9" customFormat="1" ht="36.6" customHeight="1" thickBot="1">
      <c r="A10" s="99"/>
      <c r="B10" s="162"/>
      <c r="C10" s="253" t="s">
        <v>72</v>
      </c>
      <c r="D10" s="254"/>
      <c r="E10" s="227">
        <v>0.3</v>
      </c>
      <c r="F10" s="99"/>
      <c r="G10" s="163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7"/>
    </row>
    <row r="11" spans="1:19" ht="8.4" customHeight="1" thickBot="1">
      <c r="A11" s="101"/>
      <c r="B11" s="93"/>
      <c r="C11" s="101"/>
      <c r="D11" s="101"/>
      <c r="E11" s="101"/>
      <c r="F11" s="101"/>
      <c r="G11" s="94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56"/>
    </row>
    <row r="12" spans="1:19" ht="44.4" customHeight="1" thickBot="1">
      <c r="A12" s="101"/>
      <c r="B12" s="93"/>
      <c r="C12" s="169" t="s">
        <v>64</v>
      </c>
      <c r="D12" s="170" t="s">
        <v>0</v>
      </c>
      <c r="E12" s="171" t="s">
        <v>1</v>
      </c>
      <c r="F12" s="101"/>
      <c r="G12" s="141"/>
      <c r="H12" s="89" t="s">
        <v>10</v>
      </c>
      <c r="I12" s="89"/>
      <c r="J12" s="141" t="s">
        <v>7</v>
      </c>
      <c r="K12" s="141" t="s">
        <v>8</v>
      </c>
      <c r="L12" s="141"/>
      <c r="M12" s="142" t="s">
        <v>26</v>
      </c>
      <c r="N12" s="101"/>
      <c r="O12" s="101"/>
      <c r="P12" s="101"/>
      <c r="Q12" s="101"/>
      <c r="R12" s="101"/>
      <c r="S12" s="156"/>
    </row>
    <row r="13" spans="1:19" ht="15.6">
      <c r="A13" s="101"/>
      <c r="B13" s="93"/>
      <c r="C13" s="172" t="s">
        <v>77</v>
      </c>
      <c r="D13" s="173">
        <f>+E3</f>
        <v>5000000</v>
      </c>
      <c r="E13" s="174">
        <f>+E4</f>
        <v>6000000</v>
      </c>
      <c r="F13" s="101"/>
      <c r="G13" s="101"/>
      <c r="H13" s="99"/>
      <c r="I13" s="99"/>
      <c r="J13" s="94">
        <v>33335</v>
      </c>
      <c r="K13" s="94">
        <v>5000</v>
      </c>
      <c r="L13" s="101"/>
      <c r="M13" s="144"/>
      <c r="N13" s="101"/>
      <c r="O13" s="101"/>
      <c r="P13" s="101"/>
      <c r="Q13" s="101"/>
      <c r="R13" s="101"/>
      <c r="S13" s="156"/>
    </row>
    <row r="14" spans="1:19" ht="13.8" customHeight="1">
      <c r="A14" s="101"/>
      <c r="B14" s="93"/>
      <c r="C14" s="175" t="s">
        <v>78</v>
      </c>
      <c r="D14" s="176">
        <f>+E9*E10</f>
        <v>240012</v>
      </c>
      <c r="E14" s="177">
        <f>+E9-D14</f>
        <v>560028</v>
      </c>
      <c r="F14" s="101"/>
      <c r="G14" s="101"/>
      <c r="H14" s="101" t="s">
        <v>5</v>
      </c>
      <c r="I14" s="101" t="s">
        <v>6</v>
      </c>
      <c r="J14" s="94" t="s">
        <v>7</v>
      </c>
      <c r="K14" s="94" t="s">
        <v>8</v>
      </c>
      <c r="L14" s="101"/>
      <c r="M14" s="145"/>
      <c r="N14" s="101"/>
      <c r="O14" s="101"/>
      <c r="P14" s="101"/>
      <c r="Q14" s="101"/>
      <c r="R14" s="101"/>
      <c r="S14" s="156"/>
    </row>
    <row r="15" spans="1:19" ht="13.8" customHeight="1">
      <c r="A15" s="101"/>
      <c r="B15" s="93"/>
      <c r="C15" s="178" t="s">
        <v>79</v>
      </c>
      <c r="D15" s="179">
        <f>IF(D13&gt;D14,D13-D14,0)</f>
        <v>4759988</v>
      </c>
      <c r="E15" s="180">
        <f>IF(E13&gt;E14,E13-E14,0)</f>
        <v>5439972</v>
      </c>
      <c r="F15" s="101"/>
      <c r="G15" s="101"/>
      <c r="H15" s="101">
        <v>1</v>
      </c>
      <c r="I15" s="101">
        <v>1</v>
      </c>
      <c r="J15" s="94">
        <v>66670</v>
      </c>
      <c r="K15" s="94">
        <f>+J15*0.15</f>
        <v>10000.5</v>
      </c>
      <c r="L15" s="101"/>
      <c r="M15" s="144"/>
      <c r="N15" s="101"/>
      <c r="O15" s="101"/>
      <c r="P15" s="101"/>
      <c r="Q15" s="101"/>
      <c r="R15" s="101"/>
      <c r="S15" s="156"/>
    </row>
    <row r="16" spans="1:19" ht="13.8" customHeight="1" hidden="1">
      <c r="A16" s="101"/>
      <c r="B16" s="93"/>
      <c r="C16" s="178" t="s">
        <v>32</v>
      </c>
      <c r="D16" s="179">
        <f>IF(D13-D14&lt;0,(D13-D14)*-1,0)</f>
        <v>0</v>
      </c>
      <c r="E16" s="180">
        <f>IF(E13-E14&lt;0,(E13-E14)*-1,0)</f>
        <v>0</v>
      </c>
      <c r="F16" s="101"/>
      <c r="G16" s="101"/>
      <c r="H16" s="101">
        <v>2</v>
      </c>
      <c r="I16" s="101">
        <v>1</v>
      </c>
      <c r="J16" s="94">
        <v>133330</v>
      </c>
      <c r="K16" s="94">
        <f aca="true" t="shared" si="0" ref="K16:K29">+J16*0.15</f>
        <v>19999.5</v>
      </c>
      <c r="L16" s="101"/>
      <c r="M16" s="145"/>
      <c r="N16" s="101"/>
      <c r="O16" s="101"/>
      <c r="P16" s="101"/>
      <c r="Q16" s="101"/>
      <c r="R16" s="101"/>
      <c r="S16" s="156"/>
    </row>
    <row r="17" spans="1:19" ht="13.8" customHeight="1" thickBot="1">
      <c r="A17" s="101"/>
      <c r="B17" s="93"/>
      <c r="C17" s="181" t="s">
        <v>33</v>
      </c>
      <c r="D17" s="182">
        <f>IF(D14&gt;D13,D13,D14)</f>
        <v>240012</v>
      </c>
      <c r="E17" s="183">
        <f>IF(E14&gt;E13,E13,E14)</f>
        <v>560028</v>
      </c>
      <c r="F17" s="101"/>
      <c r="G17" s="101"/>
      <c r="H17" s="101">
        <v>2</v>
      </c>
      <c r="I17" s="101">
        <v>2</v>
      </c>
      <c r="J17" s="94">
        <f>+J16*2</f>
        <v>266660</v>
      </c>
      <c r="K17" s="94">
        <f t="shared" si="0"/>
        <v>39999</v>
      </c>
      <c r="L17" s="101"/>
      <c r="M17" s="146"/>
      <c r="N17" s="101"/>
      <c r="O17" s="101"/>
      <c r="P17" s="101"/>
      <c r="Q17" s="101"/>
      <c r="R17" s="101"/>
      <c r="S17" s="156"/>
    </row>
    <row r="18" spans="1:19" ht="9.6" customHeight="1" thickBot="1">
      <c r="A18" s="101"/>
      <c r="B18" s="93"/>
      <c r="C18" s="184"/>
      <c r="D18" s="185"/>
      <c r="E18" s="185"/>
      <c r="F18" s="101"/>
      <c r="G18" s="101"/>
      <c r="H18" s="101">
        <v>3</v>
      </c>
      <c r="I18" s="101">
        <v>1</v>
      </c>
      <c r="J18" s="94">
        <v>220000</v>
      </c>
      <c r="K18" s="94">
        <f t="shared" si="0"/>
        <v>33000</v>
      </c>
      <c r="L18" s="101"/>
      <c r="M18" s="85"/>
      <c r="N18" s="101"/>
      <c r="O18" s="101"/>
      <c r="P18" s="101"/>
      <c r="Q18" s="101"/>
      <c r="R18" s="101"/>
      <c r="S18" s="156"/>
    </row>
    <row r="19" spans="1:19" ht="15.6">
      <c r="A19" s="101"/>
      <c r="B19" s="93"/>
      <c r="C19" s="172" t="s">
        <v>61</v>
      </c>
      <c r="D19" s="186">
        <f>+D13*0.15</f>
        <v>750000</v>
      </c>
      <c r="E19" s="187">
        <f>+E13*0.15</f>
        <v>900000</v>
      </c>
      <c r="F19" s="101"/>
      <c r="G19" s="101"/>
      <c r="H19" s="101">
        <v>3</v>
      </c>
      <c r="I19" s="101">
        <v>2</v>
      </c>
      <c r="J19" s="94">
        <f>+J18*2</f>
        <v>440000</v>
      </c>
      <c r="K19" s="94">
        <f t="shared" si="0"/>
        <v>66000</v>
      </c>
      <c r="L19" s="101"/>
      <c r="M19" s="147"/>
      <c r="N19" s="101"/>
      <c r="O19" s="101"/>
      <c r="P19" s="101"/>
      <c r="Q19" s="101"/>
      <c r="R19" s="101"/>
      <c r="S19" s="156"/>
    </row>
    <row r="20" spans="1:19" ht="15.6">
      <c r="A20" s="101"/>
      <c r="B20" s="93"/>
      <c r="C20" s="178" t="s">
        <v>35</v>
      </c>
      <c r="D20" s="179">
        <f>+(D13-D15)*0.15</f>
        <v>36001.799999999996</v>
      </c>
      <c r="E20" s="180">
        <f>+(E13-E15)*0.15</f>
        <v>84004.2</v>
      </c>
      <c r="F20" s="101"/>
      <c r="G20" s="101"/>
      <c r="H20" s="101">
        <v>3</v>
      </c>
      <c r="I20" s="101">
        <v>3</v>
      </c>
      <c r="J20" s="94">
        <f>+J18*3</f>
        <v>660000</v>
      </c>
      <c r="K20" s="94">
        <f t="shared" si="0"/>
        <v>99000</v>
      </c>
      <c r="L20" s="101"/>
      <c r="M20" s="148"/>
      <c r="N20" s="101"/>
      <c r="O20" s="101"/>
      <c r="P20" s="101"/>
      <c r="Q20" s="101"/>
      <c r="R20" s="101"/>
      <c r="S20" s="156"/>
    </row>
    <row r="21" spans="1:19" ht="16.2" thickBot="1">
      <c r="A21" s="101"/>
      <c r="B21" s="93"/>
      <c r="C21" s="188" t="s">
        <v>67</v>
      </c>
      <c r="D21" s="189">
        <f>+D19-D20</f>
        <v>713998.2</v>
      </c>
      <c r="E21" s="190">
        <f>+E19-E20</f>
        <v>815995.8</v>
      </c>
      <c r="F21" s="101"/>
      <c r="G21" s="101"/>
      <c r="H21" s="101">
        <v>4</v>
      </c>
      <c r="I21" s="101">
        <v>1</v>
      </c>
      <c r="J21" s="94">
        <f>+J18*1</f>
        <v>220000</v>
      </c>
      <c r="K21" s="94">
        <f t="shared" si="0"/>
        <v>33000</v>
      </c>
      <c r="L21" s="101"/>
      <c r="M21" s="149"/>
      <c r="N21" s="101"/>
      <c r="O21" s="101"/>
      <c r="P21" s="101"/>
      <c r="Q21" s="101"/>
      <c r="R21" s="101"/>
      <c r="S21" s="156"/>
    </row>
    <row r="22" spans="1:19" ht="9.6" customHeight="1" thickBot="1">
      <c r="A22" s="101"/>
      <c r="B22" s="93"/>
      <c r="C22" s="184"/>
      <c r="D22" s="185"/>
      <c r="E22" s="185"/>
      <c r="F22" s="101"/>
      <c r="G22" s="101"/>
      <c r="H22" s="101">
        <v>4</v>
      </c>
      <c r="I22" s="101">
        <v>2</v>
      </c>
      <c r="J22" s="94">
        <f>+J21*2</f>
        <v>440000</v>
      </c>
      <c r="K22" s="94">
        <f t="shared" si="0"/>
        <v>66000</v>
      </c>
      <c r="L22" s="101"/>
      <c r="M22" s="85"/>
      <c r="N22" s="101"/>
      <c r="O22" s="101"/>
      <c r="P22" s="101"/>
      <c r="Q22" s="101"/>
      <c r="R22" s="101"/>
      <c r="S22" s="156"/>
    </row>
    <row r="23" spans="1:19" ht="15" customHeight="1">
      <c r="A23" s="101"/>
      <c r="B23" s="93"/>
      <c r="C23" s="172" t="s">
        <v>76</v>
      </c>
      <c r="D23" s="191">
        <f>+D13</f>
        <v>5000000</v>
      </c>
      <c r="E23" s="192">
        <f>+E13</f>
        <v>6000000</v>
      </c>
      <c r="F23" s="101"/>
      <c r="G23" s="101"/>
      <c r="H23" s="101">
        <v>4</v>
      </c>
      <c r="I23" s="101">
        <v>3</v>
      </c>
      <c r="J23" s="94">
        <f>+J21*3</f>
        <v>660000</v>
      </c>
      <c r="K23" s="94">
        <f t="shared" si="0"/>
        <v>99000</v>
      </c>
      <c r="L23" s="101"/>
      <c r="M23" s="150"/>
      <c r="N23" s="101"/>
      <c r="O23" s="101"/>
      <c r="P23" s="101"/>
      <c r="Q23" s="101"/>
      <c r="R23" s="101"/>
      <c r="S23" s="156"/>
    </row>
    <row r="24" spans="1:19" ht="15.6" hidden="1">
      <c r="A24" s="101"/>
      <c r="B24" s="93"/>
      <c r="C24" s="178" t="s">
        <v>48</v>
      </c>
      <c r="D24" s="193">
        <f>IF(D26&gt;D23,D23,IF(D26=0,0,D23-D26))</f>
        <v>0</v>
      </c>
      <c r="E24" s="194">
        <f>IF(E26&gt;E23,E23,IF(E26=0,0,E23-E26))</f>
        <v>0</v>
      </c>
      <c r="F24" s="101"/>
      <c r="G24" s="101"/>
      <c r="H24" s="101">
        <v>4</v>
      </c>
      <c r="I24" s="101">
        <v>4</v>
      </c>
      <c r="J24" s="94">
        <f>+J21*4</f>
        <v>880000</v>
      </c>
      <c r="K24" s="94">
        <f t="shared" si="0"/>
        <v>132000</v>
      </c>
      <c r="L24" s="101"/>
      <c r="M24" s="144"/>
      <c r="N24" s="101"/>
      <c r="O24" s="101"/>
      <c r="P24" s="101"/>
      <c r="Q24" s="101"/>
      <c r="R24" s="101"/>
      <c r="S24" s="156"/>
    </row>
    <row r="25" spans="1:19" ht="15.6">
      <c r="A25" s="101"/>
      <c r="B25" s="93"/>
      <c r="C25" s="178" t="s">
        <v>39</v>
      </c>
      <c r="D25" s="193">
        <f>+D23-D24</f>
        <v>5000000</v>
      </c>
      <c r="E25" s="194">
        <f>+E23-E24</f>
        <v>6000000</v>
      </c>
      <c r="F25" s="101"/>
      <c r="G25" s="101"/>
      <c r="H25" s="101">
        <v>5</v>
      </c>
      <c r="I25" s="101">
        <v>1</v>
      </c>
      <c r="J25" s="94">
        <f>+J18*1</f>
        <v>220000</v>
      </c>
      <c r="K25" s="94">
        <f t="shared" si="0"/>
        <v>33000</v>
      </c>
      <c r="L25" s="101"/>
      <c r="M25" s="148"/>
      <c r="N25" s="101"/>
      <c r="O25" s="101"/>
      <c r="P25" s="101"/>
      <c r="Q25" s="101"/>
      <c r="R25" s="101"/>
      <c r="S25" s="156"/>
    </row>
    <row r="26" spans="1:19" ht="15.6">
      <c r="A26" s="101"/>
      <c r="B26" s="93"/>
      <c r="C26" s="175" t="s">
        <v>34</v>
      </c>
      <c r="D26" s="195">
        <f>D16</f>
        <v>0</v>
      </c>
      <c r="E26" s="196">
        <f>E16</f>
        <v>0</v>
      </c>
      <c r="F26" s="101"/>
      <c r="G26" s="101"/>
      <c r="H26" s="101">
        <v>5</v>
      </c>
      <c r="I26" s="101">
        <v>2</v>
      </c>
      <c r="J26" s="94">
        <f>+J25*2</f>
        <v>440000</v>
      </c>
      <c r="K26" s="94">
        <f t="shared" si="0"/>
        <v>66000</v>
      </c>
      <c r="L26" s="101"/>
      <c r="M26" s="151"/>
      <c r="N26" s="101"/>
      <c r="O26" s="101"/>
      <c r="P26" s="101"/>
      <c r="Q26" s="101"/>
      <c r="R26" s="101"/>
      <c r="S26" s="156"/>
    </row>
    <row r="27" spans="1:19" ht="21" customHeight="1" thickBot="1">
      <c r="A27" s="101"/>
      <c r="B27" s="93"/>
      <c r="C27" s="188" t="s">
        <v>38</v>
      </c>
      <c r="D27" s="189">
        <f>+D13*0.185</f>
        <v>925000</v>
      </c>
      <c r="E27" s="190">
        <f>+E13*0.185</f>
        <v>1110000</v>
      </c>
      <c r="F27" s="101"/>
      <c r="G27" s="101"/>
      <c r="H27" s="101">
        <v>5</v>
      </c>
      <c r="I27" s="101">
        <v>3</v>
      </c>
      <c r="J27" s="94">
        <f>+J25*3</f>
        <v>660000</v>
      </c>
      <c r="K27" s="94">
        <f t="shared" si="0"/>
        <v>99000</v>
      </c>
      <c r="L27" s="101"/>
      <c r="M27" s="145"/>
      <c r="N27" s="101"/>
      <c r="O27" s="101"/>
      <c r="P27" s="101"/>
      <c r="Q27" s="101"/>
      <c r="R27" s="101"/>
      <c r="S27" s="156"/>
    </row>
    <row r="28" spans="1:19" ht="16.2" hidden="1" thickBot="1">
      <c r="A28" s="101"/>
      <c r="B28" s="93"/>
      <c r="C28" s="197" t="s">
        <v>46</v>
      </c>
      <c r="D28" s="198">
        <f>+D26*0.15</f>
        <v>0</v>
      </c>
      <c r="E28" s="199">
        <f>+E26*0.15</f>
        <v>0</v>
      </c>
      <c r="F28" s="101"/>
      <c r="G28" s="101"/>
      <c r="H28" s="101">
        <v>5</v>
      </c>
      <c r="I28" s="101">
        <v>4</v>
      </c>
      <c r="J28" s="94">
        <f>+J25*I28</f>
        <v>880000</v>
      </c>
      <c r="K28" s="94">
        <f t="shared" si="0"/>
        <v>132000</v>
      </c>
      <c r="L28" s="101"/>
      <c r="M28" s="144"/>
      <c r="N28" s="101"/>
      <c r="O28" s="101"/>
      <c r="P28" s="101"/>
      <c r="Q28" s="101"/>
      <c r="R28" s="101"/>
      <c r="S28" s="156"/>
    </row>
    <row r="29" spans="1:19" ht="15.6" hidden="1">
      <c r="A29" s="101"/>
      <c r="B29" s="93"/>
      <c r="C29" s="200" t="s">
        <v>47</v>
      </c>
      <c r="D29" s="201">
        <f>IF(D28&gt;D27,D27,IF(D28=0,0,D28))</f>
        <v>0</v>
      </c>
      <c r="E29" s="202">
        <f>IF(E28&gt;E27,E27,IF(E28=0,0,E28))</f>
        <v>0</v>
      </c>
      <c r="F29" s="101"/>
      <c r="G29" s="101"/>
      <c r="H29" s="101">
        <v>5</v>
      </c>
      <c r="I29" s="101">
        <v>5</v>
      </c>
      <c r="J29" s="94">
        <f>+J25*5</f>
        <v>1100000</v>
      </c>
      <c r="K29" s="94">
        <f t="shared" si="0"/>
        <v>165000</v>
      </c>
      <c r="L29" s="101"/>
      <c r="M29" s="152"/>
      <c r="N29" s="101"/>
      <c r="O29" s="101"/>
      <c r="P29" s="101"/>
      <c r="Q29" s="101"/>
      <c r="R29" s="101"/>
      <c r="S29" s="156"/>
    </row>
    <row r="30" spans="1:19" ht="3" customHeight="1" hidden="1" thickBot="1">
      <c r="A30" s="101"/>
      <c r="B30" s="93"/>
      <c r="C30" s="203" t="s">
        <v>50</v>
      </c>
      <c r="D30" s="182">
        <f>+D27-D29</f>
        <v>925000</v>
      </c>
      <c r="E30" s="183">
        <f>+E27-E29</f>
        <v>1110000</v>
      </c>
      <c r="F30" s="101"/>
      <c r="G30" s="101"/>
      <c r="H30" s="101"/>
      <c r="I30" s="101"/>
      <c r="J30" s="101"/>
      <c r="K30" s="101"/>
      <c r="L30" s="101"/>
      <c r="M30" s="146"/>
      <c r="N30" s="101"/>
      <c r="O30" s="101"/>
      <c r="P30" s="101"/>
      <c r="Q30" s="101"/>
      <c r="R30" s="101"/>
      <c r="S30" s="156"/>
    </row>
    <row r="31" spans="1:19" ht="9.6" customHeight="1" thickBot="1">
      <c r="A31" s="101"/>
      <c r="B31" s="93"/>
      <c r="C31" s="184"/>
      <c r="D31" s="185"/>
      <c r="E31" s="185"/>
      <c r="F31" s="101"/>
      <c r="G31" s="101"/>
      <c r="H31" s="101"/>
      <c r="I31" s="101"/>
      <c r="J31" s="101"/>
      <c r="K31" s="101"/>
      <c r="L31" s="101"/>
      <c r="M31" s="85"/>
      <c r="N31" s="101"/>
      <c r="O31" s="101"/>
      <c r="P31" s="101"/>
      <c r="Q31" s="101"/>
      <c r="R31" s="101"/>
      <c r="S31" s="156"/>
    </row>
    <row r="32" spans="1:19" ht="15.6">
      <c r="A32" s="101"/>
      <c r="B32" s="93"/>
      <c r="C32" s="204" t="s">
        <v>68</v>
      </c>
      <c r="D32" s="186">
        <f>12*449400*0.15</f>
        <v>808920</v>
      </c>
      <c r="E32" s="187">
        <f>12*449400*0.15</f>
        <v>808920</v>
      </c>
      <c r="F32" s="101"/>
      <c r="G32" s="101"/>
      <c r="H32" s="101"/>
      <c r="I32" s="101"/>
      <c r="J32" s="101"/>
      <c r="K32" s="101"/>
      <c r="L32" s="101"/>
      <c r="M32" s="147"/>
      <c r="N32" s="101"/>
      <c r="O32" s="101"/>
      <c r="P32" s="101"/>
      <c r="Q32" s="101"/>
      <c r="R32" s="101"/>
      <c r="S32" s="156"/>
    </row>
    <row r="33" spans="1:19" ht="16.2" thickBot="1">
      <c r="A33" s="101"/>
      <c r="B33" s="93"/>
      <c r="C33" s="205" t="s">
        <v>53</v>
      </c>
      <c r="D33" s="206">
        <f>+D21-D35</f>
        <v>713998.2</v>
      </c>
      <c r="E33" s="207">
        <f>+E21-E35</f>
        <v>808920</v>
      </c>
      <c r="F33" s="101"/>
      <c r="G33" s="101"/>
      <c r="H33" s="101"/>
      <c r="I33" s="101"/>
      <c r="J33" s="101"/>
      <c r="K33" s="101"/>
      <c r="L33" s="101"/>
      <c r="M33" s="149"/>
      <c r="N33" s="101"/>
      <c r="O33" s="101"/>
      <c r="P33" s="101"/>
      <c r="Q33" s="101"/>
      <c r="R33" s="101"/>
      <c r="S33" s="156"/>
    </row>
    <row r="34" spans="1:19" ht="16.2" thickBot="1">
      <c r="A34" s="101"/>
      <c r="B34" s="93"/>
      <c r="C34" s="208" t="s">
        <v>66</v>
      </c>
      <c r="D34" s="209">
        <f>+IF(D27-D28&gt;0,D27-D28,0)</f>
        <v>925000</v>
      </c>
      <c r="E34" s="210">
        <f>+IF(E27-E28&gt;0,E27-E28,0)</f>
        <v>1110000</v>
      </c>
      <c r="F34" s="101"/>
      <c r="G34" s="101"/>
      <c r="H34" s="101"/>
      <c r="I34" s="101"/>
      <c r="J34" s="101"/>
      <c r="K34" s="101"/>
      <c r="L34" s="101"/>
      <c r="M34" s="153">
        <f>+D34+E34</f>
        <v>2035000</v>
      </c>
      <c r="N34" s="101"/>
      <c r="O34" s="101"/>
      <c r="P34" s="101"/>
      <c r="Q34" s="101"/>
      <c r="R34" s="101"/>
      <c r="S34" s="156"/>
    </row>
    <row r="35" spans="1:19" ht="16.2" thickBot="1">
      <c r="A35" s="101"/>
      <c r="B35" s="93"/>
      <c r="C35" s="211" t="s">
        <v>65</v>
      </c>
      <c r="D35" s="212">
        <f>IF(D21-D32&gt;0,D21-D32,0)</f>
        <v>0</v>
      </c>
      <c r="E35" s="213">
        <f>IF(E21-E32&gt;0,E21-E32,0)</f>
        <v>7075.800000000047</v>
      </c>
      <c r="F35" s="101"/>
      <c r="G35" s="99"/>
      <c r="H35" s="99"/>
      <c r="I35" s="99"/>
      <c r="J35" s="99"/>
      <c r="K35" s="99"/>
      <c r="L35" s="99"/>
      <c r="M35" s="154">
        <f>+D35+E35</f>
        <v>7075.800000000047</v>
      </c>
      <c r="N35" s="101"/>
      <c r="O35" s="101"/>
      <c r="P35" s="101"/>
      <c r="Q35" s="101"/>
      <c r="R35" s="101"/>
      <c r="S35" s="156"/>
    </row>
    <row r="36" spans="1:19" ht="15.6">
      <c r="A36" s="101"/>
      <c r="B36" s="93"/>
      <c r="C36" s="214" t="s">
        <v>73</v>
      </c>
      <c r="D36" s="215">
        <f>+D33</f>
        <v>713998.2</v>
      </c>
      <c r="E36" s="216" t="s">
        <v>80</v>
      </c>
      <c r="F36" s="101"/>
      <c r="G36" s="99"/>
      <c r="H36" s="99"/>
      <c r="I36" s="99"/>
      <c r="J36" s="99"/>
      <c r="K36" s="99"/>
      <c r="L36" s="99"/>
      <c r="M36" s="168"/>
      <c r="N36" s="101"/>
      <c r="O36" s="101"/>
      <c r="P36" s="101"/>
      <c r="Q36" s="101"/>
      <c r="R36" s="101"/>
      <c r="S36" s="156"/>
    </row>
    <row r="37" spans="1:19" ht="15.6">
      <c r="A37" s="101"/>
      <c r="B37" s="93"/>
      <c r="C37" s="217" t="s">
        <v>74</v>
      </c>
      <c r="D37" s="218" t="s">
        <v>80</v>
      </c>
      <c r="E37" s="219">
        <f>+E33</f>
        <v>808920</v>
      </c>
      <c r="F37" s="101"/>
      <c r="G37" s="99"/>
      <c r="H37" s="99"/>
      <c r="I37" s="99"/>
      <c r="J37" s="99"/>
      <c r="K37" s="99"/>
      <c r="L37" s="99"/>
      <c r="M37" s="168"/>
      <c r="N37" s="101"/>
      <c r="O37" s="101"/>
      <c r="P37" s="101"/>
      <c r="Q37" s="101"/>
      <c r="R37" s="101"/>
      <c r="S37" s="156"/>
    </row>
    <row r="38" spans="1:19" ht="21.6" thickBot="1">
      <c r="A38" s="101"/>
      <c r="B38" s="93"/>
      <c r="C38" s="220" t="s">
        <v>75</v>
      </c>
      <c r="D38" s="261">
        <f>+E37+D36</f>
        <v>1522918.2</v>
      </c>
      <c r="E38" s="262"/>
      <c r="F38" s="101"/>
      <c r="G38" s="99"/>
      <c r="H38" s="99"/>
      <c r="I38" s="99"/>
      <c r="J38" s="99"/>
      <c r="K38" s="99"/>
      <c r="L38" s="99"/>
      <c r="M38" s="168"/>
      <c r="N38" s="101"/>
      <c r="O38" s="101"/>
      <c r="P38" s="101"/>
      <c r="Q38" s="101"/>
      <c r="R38" s="101"/>
      <c r="S38" s="156"/>
    </row>
    <row r="39" spans="1:19" ht="18" customHeight="1">
      <c r="A39" s="101"/>
      <c r="B39" s="93"/>
      <c r="C39" s="243" t="s">
        <v>62</v>
      </c>
      <c r="D39" s="255">
        <f>+M35+M34</f>
        <v>2042075.8</v>
      </c>
      <c r="E39" s="256"/>
      <c r="F39" s="101"/>
      <c r="G39" s="99"/>
      <c r="H39" s="99"/>
      <c r="I39" s="99"/>
      <c r="J39" s="99"/>
      <c r="K39" s="99"/>
      <c r="L39" s="99"/>
      <c r="M39" s="101"/>
      <c r="N39" s="101"/>
      <c r="O39" s="101"/>
      <c r="P39" s="101"/>
      <c r="Q39" s="101"/>
      <c r="R39" s="101"/>
      <c r="S39" s="156"/>
    </row>
    <row r="40" spans="1:19" ht="14.4" customHeight="1">
      <c r="A40" s="101"/>
      <c r="B40" s="93"/>
      <c r="C40" s="244"/>
      <c r="D40" s="257"/>
      <c r="E40" s="258"/>
      <c r="F40" s="101"/>
      <c r="G40" s="99"/>
      <c r="H40" s="99"/>
      <c r="I40" s="99"/>
      <c r="J40" s="99"/>
      <c r="K40" s="99"/>
      <c r="L40" s="99"/>
      <c r="M40" s="101"/>
      <c r="N40" s="101"/>
      <c r="O40" s="101"/>
      <c r="P40" s="101"/>
      <c r="Q40" s="101"/>
      <c r="R40" s="101"/>
      <c r="S40" s="156"/>
    </row>
    <row r="41" spans="1:19" ht="12.6" customHeight="1" thickBot="1">
      <c r="A41" s="101"/>
      <c r="B41" s="93"/>
      <c r="C41" s="245"/>
      <c r="D41" s="259"/>
      <c r="E41" s="260"/>
      <c r="F41" s="101"/>
      <c r="G41" s="99"/>
      <c r="H41" s="99"/>
      <c r="I41" s="99"/>
      <c r="J41" s="99"/>
      <c r="K41" s="99"/>
      <c r="L41" s="99"/>
      <c r="M41" s="101"/>
      <c r="N41" s="101"/>
      <c r="O41" s="101"/>
      <c r="P41" s="101"/>
      <c r="Q41" s="101"/>
      <c r="R41" s="101"/>
      <c r="S41" s="156"/>
    </row>
    <row r="42" spans="1:19" s="114" customFormat="1" ht="6.6" customHeight="1">
      <c r="A42" s="129"/>
      <c r="B42" s="164"/>
      <c r="C42" s="129"/>
      <c r="D42" s="129"/>
      <c r="E42" s="129"/>
      <c r="F42" s="129"/>
      <c r="G42" s="165"/>
      <c r="H42" s="143"/>
      <c r="I42" s="143"/>
      <c r="J42" s="143"/>
      <c r="K42" s="143"/>
      <c r="L42" s="143"/>
      <c r="M42" s="143"/>
      <c r="N42" s="166"/>
      <c r="O42" s="129"/>
      <c r="P42" s="129"/>
      <c r="Q42" s="129"/>
      <c r="R42" s="129"/>
      <c r="S42" s="167"/>
    </row>
    <row r="43" spans="1:19" ht="15">
      <c r="A43" s="101"/>
      <c r="B43" s="93"/>
      <c r="C43" s="101"/>
      <c r="D43" s="101"/>
      <c r="E43" s="101"/>
      <c r="F43" s="101"/>
      <c r="G43" s="94"/>
      <c r="H43" s="99"/>
      <c r="I43" s="99"/>
      <c r="J43" s="99"/>
      <c r="K43" s="99"/>
      <c r="L43" s="99"/>
      <c r="M43" s="99"/>
      <c r="N43" s="97"/>
      <c r="O43" s="101"/>
      <c r="P43" s="101"/>
      <c r="Q43" s="101"/>
      <c r="R43" s="101"/>
      <c r="S43" s="156"/>
    </row>
    <row r="44" spans="1:19" ht="15" thickBot="1">
      <c r="A44" s="93"/>
      <c r="B44" s="157"/>
      <c r="C44" s="158"/>
      <c r="D44" s="158"/>
      <c r="E44" s="158"/>
      <c r="F44" s="158"/>
      <c r="G44" s="159"/>
      <c r="H44" s="104"/>
      <c r="I44" s="104"/>
      <c r="J44" s="104"/>
      <c r="K44" s="104"/>
      <c r="L44" s="104"/>
      <c r="M44" s="104"/>
      <c r="N44" s="105"/>
      <c r="O44" s="158"/>
      <c r="P44" s="158"/>
      <c r="Q44" s="158"/>
      <c r="R44" s="158"/>
      <c r="S44" s="160"/>
    </row>
    <row r="45" spans="1:14" ht="15" thickBot="1">
      <c r="A45" s="139"/>
      <c r="B45" s="161"/>
      <c r="G45" s="94"/>
      <c r="H45" s="99"/>
      <c r="I45" s="99"/>
      <c r="J45" s="99"/>
      <c r="K45" s="99"/>
      <c r="L45" s="99"/>
      <c r="M45" s="99"/>
      <c r="N45" s="97"/>
    </row>
    <row r="46" spans="8:10" ht="15" thickBot="1">
      <c r="H46" s="4"/>
      <c r="I46" s="4"/>
      <c r="J46" s="5"/>
    </row>
    <row r="47" spans="8:10" ht="15" thickBot="1">
      <c r="H47" s="4"/>
      <c r="I47" s="4"/>
      <c r="J47" s="5"/>
    </row>
    <row r="48" spans="8:10" ht="15" thickBot="1">
      <c r="H48" s="4"/>
      <c r="I48" s="4"/>
      <c r="J48" s="4"/>
    </row>
    <row r="49" spans="8:10" ht="15">
      <c r="H49" s="3"/>
      <c r="I49" s="3"/>
      <c r="J49" s="3"/>
    </row>
    <row r="50" spans="8:10" ht="15">
      <c r="H50" s="8"/>
      <c r="I50" s="8"/>
      <c r="J50" s="8"/>
    </row>
  </sheetData>
  <sheetProtection algorithmName="SHA-512" hashValue="NpgGzDt4dUAAfCnvOG69sv0OQxQVXMpUBCSJ17s1GHsR5e3UQWqPd0sU9yUOMmEFt05oXJKBvCTV7AhjDHRDUA==" saltValue="cO9ACVw+ig45IxVLqZopyA==" spinCount="100000" sheet="1" objects="1" scenarios="1"/>
  <mergeCells count="9">
    <mergeCell ref="C3:D3"/>
    <mergeCell ref="C39:C41"/>
    <mergeCell ref="C2:E2"/>
    <mergeCell ref="C4:D4"/>
    <mergeCell ref="C5:D5"/>
    <mergeCell ref="C9:D9"/>
    <mergeCell ref="C10:D10"/>
    <mergeCell ref="D39:E41"/>
    <mergeCell ref="D38:E38"/>
  </mergeCells>
  <dataValidations count="2">
    <dataValidation type="decimal" allowBlank="1" showInputMessage="1" showErrorMessage="1" sqref="E10">
      <formula1>0</formula1>
      <formula2>100</formula2>
    </dataValidation>
    <dataValidation type="list" allowBlank="1" showInputMessage="1" showErrorMessage="1" sqref="E5:E6">
      <formula1>Háttértábla!$B$8:$B$12</formula1>
    </dataValidation>
  </dataValidations>
  <printOptions/>
  <pageMargins left="0.7" right="0.7" top="0.75" bottom="0.75" header="0.3" footer="0.3"/>
  <pageSetup horizontalDpi="600" verticalDpi="600" orientation="portrait" paperSize="9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83E0D-5581-466E-A649-5E501713A98D}">
  <dimension ref="A2:D19"/>
  <sheetViews>
    <sheetView workbookViewId="0" topLeftCell="A1">
      <selection activeCell="A1" sqref="A1:F1048576"/>
    </sheetView>
  </sheetViews>
  <sheetFormatPr defaultColWidth="9.140625" defaultRowHeight="15"/>
  <cols>
    <col min="1" max="1" width="14.00390625" style="0" bestFit="1" customWidth="1"/>
  </cols>
  <sheetData>
    <row r="2" spans="1:2" ht="15">
      <c r="A2" t="s">
        <v>18</v>
      </c>
      <c r="B2">
        <v>12</v>
      </c>
    </row>
    <row r="4" ht="15">
      <c r="B4" t="s">
        <v>19</v>
      </c>
    </row>
    <row r="5" ht="15">
      <c r="B5" t="s">
        <v>20</v>
      </c>
    </row>
    <row r="7" ht="15">
      <c r="D7">
        <v>0</v>
      </c>
    </row>
    <row r="8" spans="2:4" ht="15">
      <c r="B8">
        <v>1</v>
      </c>
      <c r="D8">
        <v>1</v>
      </c>
    </row>
    <row r="9" spans="2:4" ht="15">
      <c r="B9">
        <v>2</v>
      </c>
      <c r="D9">
        <v>2</v>
      </c>
    </row>
    <row r="10" spans="2:4" ht="15">
      <c r="B10">
        <v>3</v>
      </c>
      <c r="D10">
        <v>3</v>
      </c>
    </row>
    <row r="11" spans="2:4" ht="15">
      <c r="B11">
        <v>4</v>
      </c>
      <c r="D11">
        <v>4</v>
      </c>
    </row>
    <row r="12" spans="2:4" ht="15">
      <c r="B12">
        <v>5</v>
      </c>
      <c r="D12">
        <v>5</v>
      </c>
    </row>
    <row r="13" ht="15">
      <c r="D13">
        <v>6</v>
      </c>
    </row>
    <row r="14" ht="15">
      <c r="D14">
        <v>7</v>
      </c>
    </row>
    <row r="15" ht="15">
      <c r="D15">
        <v>8</v>
      </c>
    </row>
    <row r="16" ht="15">
      <c r="D16">
        <v>9</v>
      </c>
    </row>
    <row r="17" ht="15">
      <c r="D17">
        <v>10</v>
      </c>
    </row>
    <row r="18" ht="15">
      <c r="D18">
        <v>11</v>
      </c>
    </row>
    <row r="19" ht="15">
      <c r="D19">
        <v>12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ABT - Takó Dániel</dc:creator>
  <cp:keywords/>
  <dc:description/>
  <cp:lastModifiedBy>ABT - Takó Dániel</cp:lastModifiedBy>
  <dcterms:created xsi:type="dcterms:W3CDTF">2021-10-13T14:42:03Z</dcterms:created>
  <dcterms:modified xsi:type="dcterms:W3CDTF">2021-11-08T16:04:37Z</dcterms:modified>
  <cp:category/>
  <cp:version/>
  <cp:contentType/>
  <cp:contentStatus/>
</cp:coreProperties>
</file>